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GSw7KKnVJ4IaSnGZhXiuYRHcjXepSc5GzJM6VkjUHCKHaG/ezzxD4M6M/cgkjNLffCyhmLmVSg+RJ61k9CPGEw==" workbookSaltValue="u9b5YrPPX8fvl9so9VfU1Q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AC298" i="83" l="1"/>
  <c r="S78" i="83"/>
  <c r="U78" i="83"/>
  <c r="AA78" i="83" s="1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O161" i="83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<sst xmlns="http://schemas.openxmlformats.org/spreadsheetml/2006/main" count="65741" uniqueCount="758">
  <si>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</si>
  <si>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</si>
  <si>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</si>
  <si>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</si>
  <si>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</si>
  <si>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</si>
  <si>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</si>
  <si>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</si>
  <si>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</si>
  <si>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</si>
  <si>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</si>
  <si>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</si>
  <si>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</si>
  <si>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</si>
  <si>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</si>
  <si>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</si>
  <si>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</si>
  <si>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</si>
  <si>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</si>
  <si>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</si>
  <si>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</si>
  <si>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</si>
  <si>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</si>
  <si>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</si>
  <si>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</si>
  <si>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</si>
  <si>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</si>
  <si>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</si>
  <si>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</si>
  <si>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</si>
  <si>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</si>
  <si>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</si>
  <si>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</si>
  <si>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</si>
  <si>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</si>
  <si>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</si>
  <si>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</si>
  <si>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</si>
  <si>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</si>
  <si>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</si>
  <si>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</si>
  <si>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</si>
  <si>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</si>
  <si>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</si>
  <si>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</si>
  <si>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</si>
  <si>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</si>
  <si>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</si>
  <si>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</si>
  <si>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</si>
  <si>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</si>
  <si>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</si>
  <si>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</si>
  <si>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</si>
  <si>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</si>
  <si>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</si>
  <si>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</si>
  <si>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</si>
  <si>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</si>
  <si>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</si>
  <si>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</si>
  <si>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</si>
  <si>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</si>
  <si>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</si>
  <si>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</si>
  <si>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</si>
  <si>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</si>
  <si>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</si>
  <si>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</si>
  <si>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</si>
  <si>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</si>
  <si>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</si>
  <si>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</si>
  <si>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</si>
  <si>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</si>
  <si>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</si>
  <si>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</si>
  <si>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</si>
  <si>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</si>
  <si>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</si>
  <si>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</si>
  <si>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</si>
  <si>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</si>
  <si>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</si>
  <si>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</si>
  <si>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</si>
  <si>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</si>
  <si>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</si>
  <si>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</si>
  <si>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</si>
  <si>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</si>
  <si>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</si>
  <si>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</si>
  <si>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</si>
  <si>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</si>
  <si>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</si>
  <si>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</si>
  <si>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</si>
  <si>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</si>
  <si>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</si>
  <si>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</si>
  <si>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</si>
  <si>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</si>
  <si>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</si>
  <si>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</si>
  <si>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</si>
  <si>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</si>
  <si>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</si>
  <si>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</si>
  <si>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</si>
  <si>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</si>
  <si>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</si>
  <si>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</si>
  <si>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</si>
  <si>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</si>
  <si>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</si>
  <si>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</si>
  <si>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</si>
  <si>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</si>
  <si>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</si>
  <si>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</si>
  <si>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</si>
  <si>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</si>
  <si>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</si>
  <si>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</si>
  <si>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</si>
  <si>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</si>
  <si>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</si>
  <si>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</si>
  <si>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</si>
  <si>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</si>
  <si>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</si>
  <si>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</si>
  <si>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</si>
  <si>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</si>
  <si>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</si>
  <si>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</si>
  <si>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</si>
  <si>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</si>
  <si>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</si>
  <si>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</si>
  <si>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</si>
  <si>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</si>
  <si>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</si>
  <si>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</si>
  <si>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</si>
  <si>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</si>
  <si>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</si>
  <si>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</si>
  <si>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</si>
  <si>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</si>
  <si>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</si>
  <si>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</si>
  <si>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</si>
  <si>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</si>
  <si>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</si>
  <si>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</si>
  <si>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</si>
  <si>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</si>
  <si>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</si>
  <si>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</si>
  <si>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</si>
  <si>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</si>
  <si>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</si>
  <si>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</si>
  <si>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</si>
  <si>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</si>
  <si>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</si>
  <si>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</si>
  <si>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</si>
  <si>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</si>
  <si>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</si>
  <si>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</si>
  <si>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</si>
  <si>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</si>
  <si>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</si>
  <si>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</si>
  <si>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</si>
  <si>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</si>
  <si>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</si>
  <si>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</si>
  <si>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</si>
  <si>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</si>
  <si>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</si>
  <si>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</si>
  <si>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</si>
  <si>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</si>
  <si>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</si>
  <si>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</si>
  <si>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</si>
  <si>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</si>
  <si>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</si>
  <si>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</si>
  <si>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</si>
  <si>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</si>
  <si>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</si>
  <si>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</si>
  <si>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</si>
  <si>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</si>
  <si>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</si>
  <si>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</si>
  <si>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</si>
  <si>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</si>
  <si>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</si>
  <si>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</si>
  <si>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</si>
  <si>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</si>
  <si>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</si>
  <si>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</si>
  <si>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</si>
  <si>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</si>
  <si>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</si>
  <si>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</si>
  <si>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</si>
  <si>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</si>
  <si>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</si>
  <si>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</si>
  <si>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</si>
  <si>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</si>
  <si>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</si>
  <si>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</si>
  <si>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</si>
  <si>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</si>
  <si>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</si>
  <si>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</si>
  <si>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</si>
  <si>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</si>
  <si>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</si>
  <si>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</si>
  <si>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</si>
  <si>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</si>
  <si>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</si>
  <si>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</si>
  <si>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</si>
  <si>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</si>
  <si>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</si>
  <si>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</si>
  <si>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</si>
  <si>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</si>
  <si>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</si>
  <si>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</si>
  <si>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</si>
  <si>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</si>
  <si>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</si>
  <si>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</si>
  <si>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</si>
  <si>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</si>
  <si>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</si>
  <si>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</si>
  <si>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</si>
  <si>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</si>
  <si>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</si>
  <si>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</si>
  <si>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</si>
  <si>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</si>
  <si>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</si>
  <si>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</si>
  <si>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</si>
  <si>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</si>
  <si>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</si>
  <si>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</si>
  <si>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</si>
  <si>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</si>
  <si>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</si>
  <si>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</si>
  <si>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</si>
  <si>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</si>
  <si>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</si>
  <si>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</si>
  <si>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</si>
  <si>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</si>
  <si>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</si>
  <si>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</si>
  <si>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</si>
  <si>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</si>
  <si>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</si>
  <si>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</si>
  <si>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</si>
  <si>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</si>
  <si>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</si>
  <si>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</si>
  <si>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</si>
  <si>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</si>
  <si>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</si>
  <si>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</si>
  <si>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</si>
  <si>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</si>
  <si>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</si>
  <si>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</si>
  <si>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</si>
  <si>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</si>
  <si>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</si>
  <si>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</si>
  <si>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</si>
  <si>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</si>
  <si>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</si>
  <si>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</si>
  <si>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</si>
  <si>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</si>
  <si>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</si>
  <si>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</si>
  <si>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</si>
  <si>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</si>
  <si>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</si>
  <si>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</si>
  <si>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</si>
  <si>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</si>
  <si>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</si>
  <si>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</si>
  <si>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</si>
  <si>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</si>
  <si>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</si>
  <si>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</si>
  <si>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</si>
  <si>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</si>
  <si>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</si>
  <si>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</si>
  <si>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</si>
  <si>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</si>
  <si>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</si>
  <si>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</si>
  <si>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</si>
  <si>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</si>
  <si>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</si>
  <si>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</si>
  <si>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</si>
  <si>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</si>
  <si>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</si>
  <si>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</si>
  <si>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</si>
  <si>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</si>
  <si>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</si>
  <si>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</si>
  <si>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</si>
  <si>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</si>
  <si>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</si>
  <si>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</si>
  <si>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</si>
  <si>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</si>
  <si>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</si>
  <si>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</si>
  <si>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</si>
  <si>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</si>
  <si>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</si>
  <si>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</si>
  <si>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</si>
  <si>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</si>
  <si>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</si>
  <si>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</si>
  <si>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</si>
  <si>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</si>
  <si>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</si>
  <si>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</si>
  <si>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</si>
  <si>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</si>
  <si>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</si>
  <si>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</si>
  <si>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</si>
  <si>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</si>
  <si>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</si>
  <si>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</si>
  <si>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</si>
  <si>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</si>
  <si>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</si>
  <si>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</si>
  <si>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</si>
  <si>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</si>
  <si>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</si>
  <si>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</si>
  <si>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</si>
  <si>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</si>
  <si>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</si>
  <si>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</si>
  <si>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</si>
  <si>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</si>
  <si>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</si>
  <si>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</si>
  <si>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</si>
  <si>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</si>
  <si>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</si>
  <si>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</si>
  <si>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</si>
  <si>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</si>
  <si>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</si>
  <si>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</si>
  <si>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</si>
  <si>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</si>
  <si>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</si>
  <si>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</si>
  <si>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</si>
  <si>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</si>
  <si>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</si>
  <si>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</si>
  <si>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</si>
  <si>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</si>
  <si>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</si>
  <si>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</si>
  <si>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</si>
  <si>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</si>
  <si>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</si>
  <si>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</si>
  <si>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</si>
  <si>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</si>
  <si>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</si>
  <si>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</si>
  <si>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</si>
  <si>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</si>
  <si>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</si>
  <si>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</si>
  <si>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</si>
  <si>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</si>
  <si>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</si>
  <si>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</si>
  <si>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</si>
  <si>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</si>
  <si>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</si>
  <si>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</si>
  <si>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</si>
  <si>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</si>
  <si>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</si>
  <si>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</si>
  <si>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</si>
  <si>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</si>
  <si>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</si>
  <si>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</si>
  <si>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</si>
  <si>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</si>
  <si>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</si>
  <si>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</si>
  <si>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</si>
  <si>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</si>
  <si>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</si>
  <si>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</si>
  <si>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</si>
  <si>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</si>
  <si>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</si>
  <si>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</si>
  <si>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</si>
  <si>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</si>
  <si>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</si>
  <si>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</si>
  <si>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</si>
  <si>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</si>
  <si>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</si>
  <si>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</si>
  <si>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</si>
  <si>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</si>
  <si>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</si>
  <si>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</si>
  <si>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</si>
  <si>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</si>
  <si>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</si>
  <si>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</si>
  <si>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</si>
  <si>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</si>
  <si>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</si>
  <si>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</si>
  <si>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</si>
  <si>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</si>
  <si>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</si>
  <si>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</si>
  <si>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</si>
  <si>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</si>
  <si>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</si>
  <si>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</si>
  <si>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</si>
  <si>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</si>
  <si>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</si>
  <si>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</si>
  <si>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</si>
  <si>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</si>
  <si>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</si>
  <si>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</si>
  <si>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</si>
  <si>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</si>
  <si>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</si>
  <si>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</si>
  <si>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</si>
  <si>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</si>
  <si>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</si>
  <si>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</si>
  <si>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</si>
  <si>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</si>
  <si>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</si>
  <si>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</si>
  <si>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</si>
  <si>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</si>
  <si>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</si>
  <si>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</si>
  <si>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</si>
  <si>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</si>
  <si>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</si>
  <si>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</si>
  <si>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</si>
  <si>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</si>
  <si>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</si>
  <si>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</si>
  <si>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</si>
  <si>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</si>
  <si>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</si>
  <si>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</si>
  <si>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</si>
  <si>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</si>
  <si>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</si>
  <si>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</si>
  <si>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</si>
  <si>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</si>
  <si>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</si>
  <si>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</si>
  <si>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</si>
  <si>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</si>
  <si>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</si>
  <si>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</si>
  <si>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</si>
  <si>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</si>
  <si>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</si>
  <si>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</si>
  <si>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</si>
  <si>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</si>
  <si>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</si>
  <si>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</si>
  <si>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</si>
  <si>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</si>
  <si>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</si>
  <si>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</si>
  <si>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</si>
  <si>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</si>
  <si>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</si>
  <si>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</si>
  <si>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</si>
  <si>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</si>
  <si>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</si>
  <si>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</si>
  <si>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</si>
  <si>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</si>
  <si>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</si>
  <si>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</si>
  <si>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</si>
  <si>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</si>
  <si>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</si>
  <si>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</si>
  <si>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</si>
  <si>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</si>
  <si>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</si>
  <si>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</si>
  <si>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</si>
  <si>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</si>
  <si>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</si>
  <si>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</si>
  <si>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</si>
  <si>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</si>
  <si>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</si>
  <si>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</si>
  <si>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</si>
  <si>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</si>
  <si>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</si>
  <si>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</si>
  <si>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</si>
  <si>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</si>
  <si>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</si>
  <si>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</si>
  <si>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</si>
  <si>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</si>
  <si>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</si>
  <si>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</si>
  <si>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</si>
  <si>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</si>
  <si>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</si>
  <si>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</si>
  <si>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</si>
  <si>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</si>
  <si>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</si>
  <si>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</si>
  <si>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</si>
  <si>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</si>
  <si>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</si>
  <si>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</si>
  <si>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</si>
  <si>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</si>
  <si>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</si>
  <si>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</si>
  <si>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</si>
  <si>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</si>
  <si>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</si>
  <si>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</si>
  <si>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</si>
  <si>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</si>
  <si>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</si>
  <si>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</si>
  <si>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</si>
  <si>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</si>
  <si>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</si>
  <si>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</si>
  <si>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</si>
  <si>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</si>
  <si>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</si>
  <si>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</si>
  <si>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</si>
  <si>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</si>
  <si>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</si>
  <si>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</si>
  <si>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</si>
  <si>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</si>
  <si>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</si>
  <si>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</si>
  <si>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</si>
  <si>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</si>
  <si>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</si>
  <si>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</si>
  <si>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</si>
  <si>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</si>
  <si>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</si>
  <si>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</si>
  <si>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</si>
  <si>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</si>
  <si>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</si>
  <si>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</si>
  <si>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</si>
  <si>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</si>
  <si>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</si>
  <si>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</si>
  <si>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</si>
  <si>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</si>
  <si>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</si>
  <si>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</si>
  <si>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</si>
  <si>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</si>
  <si>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</si>
  <si>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</si>
  <si>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</si>
  <si>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</si>
  <si>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</si>
  <si>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</si>
  <si>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</si>
  <si>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</si>
  <si>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</si>
  <si>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</si>
  <si>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</si>
  <si>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</si>
  <si>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</si>
  <si>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</si>
  <si>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</si>
  <si>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</si>
  <si>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</si>
  <si>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</si>
  <si>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</si>
  <si>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</si>
  <si>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</si>
  <si>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</si>
  <si>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</si>
  <si>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</si>
  <si>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</si>
  <si>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</si>
  <si>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</si>
  <si>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</si>
  <si>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</si>
  <si>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</si>
  <si>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</si>
  <si>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</si>
  <si>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</si>
  <si>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</si>
  <si>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</si>
  <si>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</si>
  <si>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</si>
  <si>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</si>
  <si>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</si>
  <si>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</si>
  <si>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</si>
  <si>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</si>
  <si>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</si>
  <si>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</si>
  <si>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</si>
  <si>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</si>
  <si>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</si>
  <si>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</si>
  <si>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</si>
  <si>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</si>
  <si>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</si>
  <si>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</si>
  <si>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</si>
  <si>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</si>
  <si>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</si>
  <si>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</si>
  <si>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</si>
  <si>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</si>
  <si>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</si>
  <si>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</si>
  <si>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</si>
  <si>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</si>
  <si>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</si>
  <si>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</si>
  <si>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</si>
  <si>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</si>
  <si>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</si>
  <si>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</si>
  <si>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</si>
  <si>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</si>
  <si>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</si>
  <si>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</si>
  <si>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</si>
  <si>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</si>
  <si>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</si>
  <si>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</si>
  <si>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</si>
  <si>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</si>
  <si>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</si>
  <si>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</si>
  <si>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</si>
  <si>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</si>
  <si>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</si>
  <si>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</si>
  <si>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</si>
  <si>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</si>
  <si>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</si>
  <si>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</si>
  <si>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</si>
  <si>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</si>
  <si>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</si>
  <si>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</si>
  <si>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</si>
  <si>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</si>
  <si>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</si>
  <si>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</si>
  <si>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</si>
  <si>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</si>
  <si>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</si>
  <si>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</si>
  <si>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</si>
  <si>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</si>
  <si>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</si>
  <si>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</si>
  <si>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</si>
  <si>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</si>
  <si>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</si>
  <si>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</si>
  <si>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</si>
  <si>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</si>
  <si>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</si>
  <si>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</si>
  <si>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</si>
  <si>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</si>
  <si>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</si>
  <si>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</si>
  <si>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</si>
  <si>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</si>
  <si>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</si>
  <si>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</si>
  <si>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</si>
  <si>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</si>
  <si>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</si>
  <si>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</si>
  <si>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</si>
  <si>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</si>
  <si>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</si>
  <si>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</si>
  <si>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Director General</t>
  </si>
  <si>
    <t>Deputy Minister</t>
  </si>
  <si>
    <t>Foreign (LRP)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</si>
</sst>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34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11</v>
      </c>
      <c r="AC3" s="2">
        <f>SUMIFS(PERSALDATA!$H$2:$H$20871,PERSALDATA!$A$2:$A$20871,WORKING!A3,PERSALDATA!$D$2:$D$20871,WORKING!B3,PERSALDATA!$E$2:$E$20871,WORKING!C3)</f>
        <v>768000</v>
      </c>
    </row>
    <row r="4" spans="1:29" x14ac:dyDescent="0.25">
      <c r="A4" s="2">
        <f>Results!$D$3</f>
        <v>34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1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7.5999999999999998E-2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7.0000000000000007E-2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6.9000000000000006E-2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6.7000000000000004E-2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1.4999999999999999E-2</v>
      </c>
      <c r="AB4" s="2">
        <f>SUMIFS(PERSALDATA!$G$2:$G$20871,PERSALDATA!$A$2:$A$20871,WORKING!A4,PERSALDATA!$D$2:$D$20871,WORKING!B4,PERSALDATA!$E$2:$E$20871,WORKING!C4,PERSALDATA!$F$2:$F$20871,"S&amp;W: BASIC SALARY (RES)")</f>
        <v>7</v>
      </c>
      <c r="AC4" s="2">
        <f>SUMIFS(PERSALDATA!$H$2:$H$20871,PERSALDATA!$A$2:$A$20871,WORKING!A4,PERSALDATA!$D$2:$D$20871,WORKING!B4,PERSALDATA!$E$2:$E$20871,WORKING!C4)</f>
        <v>1058999.99</v>
      </c>
    </row>
    <row r="5" spans="1:29" x14ac:dyDescent="0.25">
      <c r="A5" s="2">
        <f>Results!$D$3</f>
        <v>34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0.67856004571005002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5.0836113957888535E-2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6.8597439112194819E-2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7.4025724496983317E-2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8.7836983380593564E-2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2.9278668084917744E-2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4.6315876913046984E-4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1.6776793601263711E-3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8.724187128115032E-3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7.182295477043095E-2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7.0424411476332813E-2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6.9424411476332798E-2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6.7424411476332782E-2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1.2853705164325371E-2</v>
      </c>
      <c r="AB5" s="2">
        <f>SUMIFS(PERSALDATA!$G$2:$G$20871,PERSALDATA!$A$2:$A$20871,WORKING!A5,PERSALDATA!$D$2:$D$20871,WORKING!B5,PERSALDATA!$E$2:$E$20871,WORKING!C5,PERSALDATA!$F$2:$F$20871,"S&amp;W: BASIC SALARY (RES)")</f>
        <v>21</v>
      </c>
      <c r="AC5" s="2">
        <f>SUMIFS(PERSALDATA!$H$2:$H$20871,PERSALDATA!$A$2:$A$20871,WORKING!A5,PERSALDATA!$D$2:$D$20871,WORKING!B5,PERSALDATA!$E$2:$E$20871,WORKING!C5)</f>
        <v>3411206.0600000005</v>
      </c>
    </row>
    <row r="6" spans="1:29" x14ac:dyDescent="0.25">
      <c r="A6" s="2">
        <f>Results!$D$3</f>
        <v>34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0.61914479305935366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5.1786861298482409E-2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7.1860582804230966E-2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0.14361803236462253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8.0487871610369577E-2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3.2729461353831028E-2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3.7239750910992577E-4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7.2549248159983176E-2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7.1435664657427053E-2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7.0435664657427038E-2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6.8435664657427037E-2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1.176223480983055E-2</v>
      </c>
      <c r="AB6" s="2">
        <f>SUMIFS(PERSALDATA!$G$2:$G$20871,PERSALDATA!$A$2:$A$20871,WORKING!A6,PERSALDATA!$D$2:$D$20871,WORKING!B6,PERSALDATA!$E$2:$E$20871,WORKING!C6,PERSALDATA!$F$2:$F$20871,"S&amp;W: BASIC SALARY (RES)")</f>
        <v>2</v>
      </c>
      <c r="AC6" s="2">
        <f>SUMIFS(PERSALDATA!$H$2:$H$20871,PERSALDATA!$A$2:$A$20871,WORKING!A6,PERSALDATA!$D$2:$D$20871,WORKING!B6,PERSALDATA!$E$2:$E$20871,WORKING!C6)</f>
        <v>375727.54</v>
      </c>
    </row>
    <row r="7" spans="1:29" x14ac:dyDescent="0.25">
      <c r="A7" s="2">
        <f>Results!$D$3</f>
        <v>34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0.68493426092795295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4.9487100437773456E-2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5.3378954373169876E-2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2.0748152800828486E-2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4.4635985997873398E-2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8.1654899107336601E-2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1.7131321697868521E-2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3.5713464327148924E-4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2.7463125689525518E-2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1.6363766534610039E-2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3.8452977897898469E-3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7.2568103271609313E-2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7.0135750246236417E-2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6.913575024623643E-2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6.71357502462364E-2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1.3524418874785281E-2</v>
      </c>
      <c r="AB7" s="2">
        <f>SUMIFS(PERSALDATA!$G$2:$G$20871,PERSALDATA!$A$2:$A$20871,WORKING!A7,PERSALDATA!$D$2:$D$20871,WORKING!B7,PERSALDATA!$E$2:$E$20871,WORKING!C7,PERSALDATA!$F$2:$F$20871,"S&amp;W: BASIC SALARY (RES)")</f>
        <v>22</v>
      </c>
      <c r="AC7" s="2">
        <f>SUMIFS(PERSALDATA!$H$2:$H$20871,PERSALDATA!$A$2:$A$20871,WORKING!A7,PERSALDATA!$D$2:$D$20871,WORKING!B7,PERSALDATA!$E$2:$E$20871,WORKING!C7)</f>
        <v>4619798.2499999991</v>
      </c>
    </row>
    <row r="8" spans="1:29" x14ac:dyDescent="0.25">
      <c r="A8" s="2">
        <f>Results!$D$3</f>
        <v>34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0.69964292804501438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5.7379273881398428E-2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4.5628661000023954E-2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1.9767314702262236E-2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5.3702038454384537E-2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9.0953951860782686E-2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2.9191666442447719E-2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2.9680584863467466E-4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1.8938758038503666E-3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1.0810078901564253E-3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4.6247607104467798E-4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7.3284050302359557E-2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7.0349243966815536E-2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6.9349243966815549E-2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6.7349243966815547E-2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1.3505587420454351E-2</v>
      </c>
      <c r="AB8" s="2">
        <f>SUMIFS(PERSALDATA!$G$2:$G$20871,PERSALDATA!$A$2:$A$20871,WORKING!A8,PERSALDATA!$D$2:$D$20871,WORKING!B8,PERSALDATA!$E$2:$E$20871,WORKING!C8,PERSALDATA!$F$2:$F$20871,"S&amp;W: BASIC SALARY (RES)")</f>
        <v>53</v>
      </c>
      <c r="AC8" s="2">
        <f>SUMIFS(PERSALDATA!$H$2:$H$20871,PERSALDATA!$A$2:$A$20871,WORKING!A8,PERSALDATA!$D$2:$D$20871,WORKING!B8,PERSALDATA!$E$2:$E$20871,WORKING!C8)</f>
        <v>15713807.6</v>
      </c>
    </row>
    <row r="9" spans="1:29" x14ac:dyDescent="0.25">
      <c r="A9" s="2">
        <f>Results!$D$3</f>
        <v>34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0.71677002997220496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5.565106973943721E-2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3.5893283517799732E-2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1.0287609086411263E-2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4.4173040877191379E-2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8.7422981161228749E-2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2.426388871689519E-2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2.4141097140156385E-4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1.9830587613565941E-2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3.5334794532159227E-3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9.9269545136259447E-4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9.3992343928537344E-4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7.3890533024927887E-2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7.0303662777979878E-2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6.9303662777979849E-2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6.7303662777979861E-2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1.3795383969504109E-2</v>
      </c>
      <c r="AB9" s="2">
        <f>SUMIFS(PERSALDATA!$G$2:$G$20871,PERSALDATA!$A$2:$A$20871,WORKING!A9,PERSALDATA!$D$2:$D$20871,WORKING!B9,PERSALDATA!$E$2:$E$20871,WORKING!C9,PERSALDATA!$F$2:$F$20871,"S&amp;W: BASIC SALARY (RES)")</f>
        <v>69</v>
      </c>
      <c r="AC9" s="2">
        <f>SUMIFS(PERSALDATA!$H$2:$H$20871,PERSALDATA!$A$2:$A$20871,WORKING!A9,PERSALDATA!$D$2:$D$20871,WORKING!B9,PERSALDATA!$E$2:$E$20871,WORKING!C9)</f>
        <v>17894712.800000004</v>
      </c>
    </row>
    <row r="10" spans="1:29" x14ac:dyDescent="0.25">
      <c r="A10" s="2">
        <f>Results!$D$3</f>
        <v>34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0.73384549525028997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5.4904295501419946E-2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3.0409095356428665E-2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1.4857950975445703E-2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3.8173606488011831E-2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9.3791070466519827E-2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2.117327641070078E-2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1.9965578412312163E-4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5.7981907107280311E-3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4.8416966818411377E-3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3.1824460194418766E-4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7.8804139235488986E-4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8.9938038019185497E-4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7.4223339243743594E-2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7.0268513143755887E-2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6.92685131437559E-2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6.7268513143755898E-2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1.3968264635571544E-2</v>
      </c>
      <c r="AB10" s="2">
        <f>SUMIFS(PERSALDATA!$G$2:$G$20871,PERSALDATA!$A$2:$A$20871,WORKING!A10,PERSALDATA!$D$2:$D$20871,WORKING!B10,PERSALDATA!$E$2:$E$20871,WORKING!C10,PERSALDATA!$F$2:$F$20871,"S&amp;W: BASIC SALARY (RES)")</f>
        <v>60</v>
      </c>
      <c r="AC10" s="2">
        <f>SUMIFS(PERSALDATA!$H$2:$H$20871,PERSALDATA!$A$2:$A$20871,WORKING!A10,PERSALDATA!$D$2:$D$20871,WORKING!B10,PERSALDATA!$E$2:$E$20871,WORKING!C10)</f>
        <v>22542597.600000001</v>
      </c>
    </row>
    <row r="11" spans="1:29" x14ac:dyDescent="0.25">
      <c r="A11" s="2">
        <f>Results!$D$3</f>
        <v>34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0.74356163647198881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5.1125140146177112E-2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2.3891018359385036E-2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1.1414253001252256E-2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2.7720511610422646E-2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8.8663850456620286E-2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1.6385058749186731E-2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1.7244352655961822E-4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2.2753115948014678E-2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1.1007170096815351E-2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2.1868684803999713E-3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1.1189331531775231E-3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7.4572369767232666E-2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7.0176897490562495E-2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6.9176897490562494E-2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6.7176897490562479E-2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1.4223240397554489E-2</v>
      </c>
      <c r="AB11" s="2">
        <f>SUMIFS(PERSALDATA!$G$2:$G$20871,PERSALDATA!$A$2:$A$20871,WORKING!A11,PERSALDATA!$D$2:$D$20871,WORKING!B11,PERSALDATA!$E$2:$E$20871,WORKING!C11,PERSALDATA!$F$2:$F$20871,"S&amp;W: BASIC SALARY (RES)")</f>
        <v>37</v>
      </c>
      <c r="AC11" s="2">
        <f>SUMIFS(PERSALDATA!$H$2:$H$20871,PERSALDATA!$A$2:$A$20871,WORKING!A11,PERSALDATA!$D$2:$D$20871,WORKING!B11,PERSALDATA!$E$2:$E$20871,WORKING!C11)</f>
        <v>16160884.989999998</v>
      </c>
    </row>
    <row r="12" spans="1:29" x14ac:dyDescent="0.25">
      <c r="A12" s="2">
        <f>Results!$D$3</f>
        <v>34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0.74926678203129393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6.1600556897221125E-2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2.0527788098821956E-2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5.7384469112198066E-3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3.635525002514628E-2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9.6558202946432387E-2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1.702205643259248E-2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1.3546205169861201E-4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2.4081490170615068E-3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7.6218371317663272E-3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1.3406606247570859E-3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1.4248078319885921E-3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7.4948861604841585E-2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7.0340050869389006E-2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6.9340050869388978E-2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6.7340050869389004E-2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1.4144722497364998E-2</v>
      </c>
      <c r="AB12" s="2">
        <f>SUMIFS(PERSALDATA!$G$2:$G$20871,PERSALDATA!$A$2:$A$20871,WORKING!A12,PERSALDATA!$D$2:$D$20871,WORKING!B12,PERSALDATA!$E$2:$E$20871,WORKING!C12,PERSALDATA!$F$2:$F$20871,"S&amp;W: BASIC SALARY (RES)")</f>
        <v>63</v>
      </c>
      <c r="AC12" s="2">
        <f>SUMIFS(PERSALDATA!$H$2:$H$20871,PERSALDATA!$A$2:$A$20871,WORKING!A12,PERSALDATA!$D$2:$D$20871,WORKING!B12,PERSALDATA!$E$2:$E$20871,WORKING!C12)</f>
        <v>28103368.819999997</v>
      </c>
    </row>
    <row r="13" spans="1:29" x14ac:dyDescent="0.25">
      <c r="A13" s="2">
        <f>Results!$D$3</f>
        <v>34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0.69082429328300765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4.1236153552245011E-2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-7.0297253887641103E-5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2.4535044449225459E-3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1.7817963753884839E-2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8.2539246961531976E-2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1.5614594278283813E-2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1.1309656529623325E-4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0.12916982759830936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1.6383960230215301E-2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1.5608038356386248E-3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4.1625347268668548E-4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1.9405992778657429E-3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1.4732088554020601E-2</v>
      </c>
      <c r="AB13" s="2">
        <f>SUMIFS(PERSALDATA!$G$2:$G$20871,PERSALDATA!$A$2:$A$20871,WORKING!A13,PERSALDATA!$D$2:$D$20871,WORKING!B13,PERSALDATA!$E$2:$E$20871,WORKING!C13,PERSALDATA!$F$2:$F$20871,"S&amp;W: BASIC SALARY (RES)")</f>
        <v>30</v>
      </c>
      <c r="AC13" s="2">
        <f>SUMIFS(PERSALDATA!$H$2:$H$20871,PERSALDATA!$A$2:$A$20871,WORKING!A13,PERSALDATA!$D$2:$D$20871,WORKING!B13,PERSALDATA!$E$2:$E$20871,WORKING!C13)</f>
        <v>21337960.11999999</v>
      </c>
    </row>
    <row r="14" spans="1:29" x14ac:dyDescent="0.25">
      <c r="A14" s="2">
        <f>Results!$D$3</f>
        <v>34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0.69875232555052047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4.2534075063701986E-2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4.5832269417781164E-4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1.6953769108468786E-3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1.5328828222022436E-2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9.0446948482548861E-2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2.753976935080428E-2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9.1045121910312987E-5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0.11253651325723499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6.2897371403309562E-3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2.7873645297242108E-3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9.3941081120592297E-4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6.0028286497077919E-4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1.4761827059428337E-2</v>
      </c>
      <c r="AB14" s="2">
        <f>SUMIFS(PERSALDATA!$G$2:$G$20871,PERSALDATA!$A$2:$A$20871,WORKING!A14,PERSALDATA!$D$2:$D$20871,WORKING!B14,PERSALDATA!$E$2:$E$20871,WORKING!C14,PERSALDATA!$F$2:$F$20871,"S&amp;W: BASIC SALARY (RES)")</f>
        <v>75</v>
      </c>
      <c r="AC14" s="2">
        <f>SUMIFS(PERSALDATA!$H$2:$H$20871,PERSALDATA!$A$2:$A$20871,WORKING!A14,PERSALDATA!$D$2:$D$20871,WORKING!B14,PERSALDATA!$E$2:$E$20871,WORKING!C14)</f>
        <v>56730771.420000009</v>
      </c>
    </row>
    <row r="15" spans="1:29" x14ac:dyDescent="0.25">
      <c r="A15" s="2">
        <f>Results!$D$3</f>
        <v>34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0.61486230143247644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2.6363212817093477E-2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3.3355248915634358E-3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1.6009130353988509E-2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7.6710726953541128E-2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1.3921442931975885E-2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7.2833699963659719E-5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0.22614941638765537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1.6136612838070212E-2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2.2027209961942612E-3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2.0030017302074712E-3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2.2330749672702468E-3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1.4708737665817265E-2</v>
      </c>
      <c r="AB15" s="2">
        <f>SUMIFS(PERSALDATA!$G$2:$G$20871,PERSALDATA!$A$2:$A$20871,WORKING!A15,PERSALDATA!$D$2:$D$20871,WORKING!B15,PERSALDATA!$E$2:$E$20871,WORKING!C15,PERSALDATA!$F$2:$F$20871,"S&amp;W: BASIC SALARY (RES)")</f>
        <v>45</v>
      </c>
      <c r="AC15" s="2">
        <f>SUMIFS(PERSALDATA!$H$2:$H$20871,PERSALDATA!$A$2:$A$20871,WORKING!A15,PERSALDATA!$D$2:$D$20871,WORKING!B15,PERSALDATA!$E$2:$E$20871,WORKING!C15)</f>
        <v>44344444.969999999</v>
      </c>
    </row>
    <row r="16" spans="1:29" x14ac:dyDescent="0.25">
      <c r="A16" s="2">
        <f>Results!$D$3</f>
        <v>34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0.59246231415638617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2.0453207167971683E-2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0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1.0495151077156267E-2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7.6723544961783796E-2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1.3440664726079339E-2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5.7520986552094356E-5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0.25205479358285637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1.8679671565785681E-2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1.019059994257422E-2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5.4425318328542695E-3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1.4841709919044373E-2</v>
      </c>
      <c r="AB16" s="2">
        <f>SUMIFS(PERSALDATA!$G$2:$G$20871,PERSALDATA!$A$2:$A$20871,WORKING!A16,PERSALDATA!$D$2:$D$20871,WORKING!B16,PERSALDATA!$E$2:$E$20871,WORKING!C16,PERSALDATA!$F$2:$F$20871,"S&amp;W: BASIC SALARY (RES)")</f>
        <v>15</v>
      </c>
      <c r="AC16" s="2">
        <f>SUMIFS(PERSALDATA!$H$2:$H$20871,PERSALDATA!$A$2:$A$20871,WORKING!A16,PERSALDATA!$D$2:$D$20871,WORKING!B16,PERSALDATA!$E$2:$E$20871,WORKING!C16)</f>
        <v>17939713.170000002</v>
      </c>
    </row>
    <row r="17" spans="1:29" x14ac:dyDescent="0.25">
      <c r="A17" s="2">
        <f>Results!$D$3</f>
        <v>34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0.594020597990921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1.9093552647452494E-2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5.9039017311401454E-3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1.0280566088111355E-2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6.6015759947416305E-2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2.5051864648511855E-2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4.6744821475059984E-5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0.2752493707854089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4.3376413395629634E-3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1.4756531810389101E-2</v>
      </c>
      <c r="AB17" s="2">
        <f>SUMIFS(PERSALDATA!$G$2:$G$20871,PERSALDATA!$A$2:$A$20871,WORKING!A17,PERSALDATA!$D$2:$D$20871,WORKING!B17,PERSALDATA!$E$2:$E$20871,WORKING!C17,PERSALDATA!$F$2:$F$20871,"S&amp;W: BASIC SALARY (RES)")</f>
        <v>6</v>
      </c>
      <c r="AC17" s="2">
        <f>SUMIFS(PERSALDATA!$H$2:$H$20871,PERSALDATA!$A$2:$A$20871,WORKING!A17,PERSALDATA!$D$2:$D$20871,WORKING!B17,PERSALDATA!$E$2:$E$20871,WORKING!C17)</f>
        <v>9227118.3499999996</v>
      </c>
    </row>
    <row r="18" spans="1:29" x14ac:dyDescent="0.25">
      <c r="A18" s="2">
        <f>Results!$D$3</f>
        <v>34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0.60180754272335224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2.3901403476514545E-2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9.2445637712282643E-3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0.11467435614042024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1.2603521025725991E-5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0.24172554422636802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7.4338952989973176E-3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1.2000908420936778E-3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1.4861142490616191E-2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7401106.3899999997</v>
      </c>
    </row>
    <row r="19" spans="1:29" x14ac:dyDescent="0.25">
      <c r="A19" s="2">
        <f>Results!$D$3</f>
        <v>34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34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34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34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34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34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34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0.74092685295561889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6.1972340655930415E-2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6.1294693763764355E-2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0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9.6319616867300839E-2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3.9168853033258733E-2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3.1764272412688544E-4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7.1341603273953919E-2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6.9387053062362369E-2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6.8387053062362368E-2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6.6387053062362367E-2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1.407581495268163E-2</v>
      </c>
      <c r="AB25" s="2">
        <f>SUMIFS(PERSALDATA!$G$2:$G$20871,PERSALDATA!$A$2:$A$20871,WORKING!A25,PERSALDATA!$D$2:$D$20871,WORKING!B25,PERSALDATA!$E$2:$E$20871,WORKING!C25,PERSALDATA!$F$2:$F$20871,"S&amp;W: BASIC SALARY (RES)")</f>
        <v>1</v>
      </c>
      <c r="AC25" s="2">
        <f>SUMIFS(PERSALDATA!$H$2:$H$20871,PERSALDATA!$A$2:$A$20871,WORKING!A25,PERSALDATA!$D$2:$D$20871,WORKING!B25,PERSALDATA!$E$2:$E$20871,WORKING!C25)</f>
        <v>220247.44999999998</v>
      </c>
    </row>
    <row r="26" spans="1:29" x14ac:dyDescent="0.25">
      <c r="A26" s="2">
        <f>Results!$D$3</f>
        <v>34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0.72940170620552991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6.331382984937986E-2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4.1331646175815605E-2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5.2971927520791765E-4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4.1498940934146286E-2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9.5652436366538737E-2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2.8023921852284212E-2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2.4779934109734551E-4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7.3439780063716056E-2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7.0209167652254045E-2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6.9209167652254017E-2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6.7209167652254029E-2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1.375382420323411E-2</v>
      </c>
      <c r="AB26" s="2">
        <f>SUMIFS(PERSALDATA!$G$2:$G$20871,PERSALDATA!$A$2:$A$20871,WORKING!A26,PERSALDATA!$D$2:$D$20871,WORKING!B26,PERSALDATA!$E$2:$E$20871,WORKING!C26,PERSALDATA!$F$2:$F$20871,"S&amp;W: BASIC SALARY (RES)")</f>
        <v>14</v>
      </c>
      <c r="AC26" s="2">
        <f>SUMIFS(PERSALDATA!$H$2:$H$20871,PERSALDATA!$A$2:$A$20871,WORKING!A26,PERSALDATA!$D$2:$D$20871,WORKING!B26,PERSALDATA!$E$2:$E$20871,WORKING!C26)</f>
        <v>4776001.4000000004</v>
      </c>
    </row>
    <row r="27" spans="1:29" x14ac:dyDescent="0.25">
      <c r="A27" s="2">
        <f>Results!$D$3</f>
        <v>34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0.7365515895118584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6.2919197775879315E-2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3.1629332428863753E-2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1.1054578201217598E-3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4.1466265676456573E-2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9.6006275529457508E-2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2.8991302717989505E-2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2.0406823558670508E-4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1.1265103037864114E-3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7.4176698454876761E-2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7.0305700660858214E-2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6.9305700660858213E-2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6.7305700660858225E-2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1.3900505004886394E-2</v>
      </c>
      <c r="AB27" s="2">
        <f>SUMIFS(PERSALDATA!$G$2:$G$20871,PERSALDATA!$A$2:$A$20871,WORKING!A27,PERSALDATA!$D$2:$D$20871,WORKING!B27,PERSALDATA!$E$2:$E$20871,WORKING!C27,PERSALDATA!$F$2:$F$20871,"S&amp;W: BASIC SALARY (RES)")</f>
        <v>7</v>
      </c>
      <c r="AC27" s="2">
        <f>SUMIFS(PERSALDATA!$H$2:$H$20871,PERSALDATA!$A$2:$A$20871,WORKING!A27,PERSALDATA!$D$2:$D$20871,WORKING!B27,PERSALDATA!$E$2:$E$20871,WORKING!C27)</f>
        <v>2371216.66</v>
      </c>
    </row>
    <row r="28" spans="1:29" x14ac:dyDescent="0.25">
      <c r="A28" s="2">
        <f>Results!$D$3</f>
        <v>34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0.71632675207882823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5.9915012351425698E-2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3.063574758758238E-2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3.9765200368681926E-2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9.3121916114875219E-2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3.7867803708277963E-2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1.5876125194276024E-4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2.2208806538385636E-2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7.422839598850528E-2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7.0290120529654415E-2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6.9290120529654387E-2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6.7290120529654385E-2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1.3941604361876889E-2</v>
      </c>
      <c r="AB28" s="2">
        <f>SUMIFS(PERSALDATA!$G$2:$G$20871,PERSALDATA!$A$2:$A$20871,WORKING!A28,PERSALDATA!$D$2:$D$20871,WORKING!B28,PERSALDATA!$E$2:$E$20871,WORKING!C28,PERSALDATA!$F$2:$F$20871,"S&amp;W: BASIC SALARY (RES)")</f>
        <v>1</v>
      </c>
      <c r="AC28" s="2">
        <f>SUMIFS(PERSALDATA!$H$2:$H$20871,PERSALDATA!$A$2:$A$20871,WORKING!A28,PERSALDATA!$D$2:$D$20871,WORKING!B28,PERSALDATA!$E$2:$E$20871,WORKING!C28)</f>
        <v>440661.68000000005</v>
      </c>
    </row>
    <row r="29" spans="1:29" x14ac:dyDescent="0.25">
      <c r="A29" s="2">
        <f>Results!$D$3</f>
        <v>34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0.77532208178575446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6.4868965462636999E-2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2.1784554453370138E-2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1.5256055810187037E-4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2.8919636245502311E-2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0.10079148856144378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8.000759129156855E-3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1.4487980028404709E-4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1.5074003749459968E-5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7.4749248768980897E-2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7.0215948999148819E-2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6.9215948999148832E-2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6.7215948999148831E-2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1.4237263942512653E-2</v>
      </c>
      <c r="AB29" s="2">
        <f>SUMIFS(PERSALDATA!$G$2:$G$20871,PERSALDATA!$A$2:$A$20871,WORKING!A29,PERSALDATA!$D$2:$D$20871,WORKING!B29,PERSALDATA!$E$2:$E$20871,WORKING!C29,PERSALDATA!$F$2:$F$20871,"S&amp;W: BASIC SALARY (RES)")</f>
        <v>39</v>
      </c>
      <c r="AC29" s="2">
        <f>SUMIFS(PERSALDATA!$H$2:$H$20871,PERSALDATA!$A$2:$A$20871,WORKING!A29,PERSALDATA!$D$2:$D$20871,WORKING!B29,PERSALDATA!$E$2:$E$20871,WORKING!C29)</f>
        <v>17181898.34</v>
      </c>
    </row>
    <row r="30" spans="1:29" x14ac:dyDescent="0.25">
      <c r="A30" s="2">
        <f>Results!$D$3</f>
        <v>34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0.7113225086072158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5.3958689441783829E-2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9.2471643167665082E-2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3.1214458171155871E-2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1.0611810366111462E-4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0.11092658250851839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1.4998408228445082E-2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1098775.76</v>
      </c>
    </row>
    <row r="31" spans="1:29" x14ac:dyDescent="0.25">
      <c r="A31" s="2">
        <f>Results!$D$3</f>
        <v>34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0.70436441505131775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4.3395223104582097E-2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2.9777666295341932E-3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2.0138803756348495E-2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9.1575209603038096E-2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2.0218223913116048E-2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9.6982247812138229E-5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0.11723337569425116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1.4651796710494578E-2</v>
      </c>
      <c r="AB31" s="2">
        <f>SUMIFS(PERSALDATA!$G$2:$G$20871,PERSALDATA!$A$2:$A$20871,WORKING!A31,PERSALDATA!$D$2:$D$20871,WORKING!B31,PERSALDATA!$E$2:$E$20871,WORKING!C31,PERSALDATA!$F$2:$F$20871,"S&amp;W: BASIC SALARY (RES)")</f>
        <v>43</v>
      </c>
      <c r="AC31" s="2">
        <f>SUMIFS(PERSALDATA!$H$2:$H$20871,PERSALDATA!$A$2:$A$20871,WORKING!A31,PERSALDATA!$D$2:$D$20871,WORKING!B31,PERSALDATA!$E$2:$E$20871,WORKING!C31)</f>
        <v>30659219.259999994</v>
      </c>
    </row>
    <row r="32" spans="1:29" x14ac:dyDescent="0.25">
      <c r="A32" s="2">
        <f>Results!$D$3</f>
        <v>34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0.6386997962570744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4.6046356995480799E-2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3.7344371059161888E-3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2.0386503204076069E-2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8.3030775538322554E-2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7.5018930037918019E-3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7.5345117060146628E-5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0.19016739641681174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9.03809151982609E-3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1.3194048416399959E-3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1.4637055718594211E-2</v>
      </c>
      <c r="AB32" s="2">
        <f>SUMIFS(PERSALDATA!$G$2:$G$20871,PERSALDATA!$A$2:$A$20871,WORKING!A32,PERSALDATA!$D$2:$D$20871,WORKING!B32,PERSALDATA!$E$2:$E$20871,WORKING!C32,PERSALDATA!$F$2:$F$20871,"S&amp;W: BASIC SALARY (RES)")</f>
        <v>21</v>
      </c>
      <c r="AC32" s="2">
        <f>SUMIFS(PERSALDATA!$H$2:$H$20871,PERSALDATA!$A$2:$A$20871,WORKING!A32,PERSALDATA!$D$2:$D$20871,WORKING!B32,PERSALDATA!$E$2:$E$20871,WORKING!C32)</f>
        <v>20195469.320000004</v>
      </c>
    </row>
    <row r="33" spans="1:29" x14ac:dyDescent="0.25">
      <c r="A33" s="2">
        <f>Results!$D$3</f>
        <v>34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0.60286461417619364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4.7119046754162286E-2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1.8947327115879518E-2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7.9436668933324881E-3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7.8372282306319305E-2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6.1675128706114134E-5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0.24328632489896959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1.4050627264369404E-3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1.4595709962931228E-2</v>
      </c>
      <c r="AB33" s="2">
        <f>SUMIFS(PERSALDATA!$G$2:$G$20871,PERSALDATA!$A$2:$A$20871,WORKING!A33,PERSALDATA!$D$2:$D$20871,WORKING!B33,PERSALDATA!$E$2:$E$20871,WORKING!C33,PERSALDATA!$F$2:$F$20871,"S&amp;W: BASIC SALARY (RES)")</f>
        <v>6</v>
      </c>
      <c r="AC33" s="2">
        <f>SUMIFS(PERSALDATA!$H$2:$H$20871,PERSALDATA!$A$2:$A$20871,WORKING!A33,PERSALDATA!$D$2:$D$20871,WORKING!B33,PERSALDATA!$E$2:$E$20871,WORKING!C33)</f>
        <v>6333347.1400000006</v>
      </c>
    </row>
    <row r="34" spans="1:29" x14ac:dyDescent="0.25">
      <c r="A34" s="2">
        <f>Results!$D$3</f>
        <v>34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0.57783912440156171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3.9704561188740335E-2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9.8231749746542137E-3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7.5118946457633104E-2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4.0545178982617502E-2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4.7173896295085714E-5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0.25213054739531959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4.7912927031784035E-3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1.4851944766935757E-2</v>
      </c>
      <c r="AB34" s="2">
        <f>SUMIFS(PERSALDATA!$G$2:$G$20871,PERSALDATA!$A$2:$A$20871,WORKING!A34,PERSALDATA!$D$2:$D$20871,WORKING!B34,PERSALDATA!$E$2:$E$20871,WORKING!C34,PERSALDATA!$F$2:$F$20871,"S&amp;W: BASIC SALARY (RES)")</f>
        <v>2</v>
      </c>
      <c r="AC34" s="2">
        <f>SUMIFS(PERSALDATA!$H$2:$H$20871,PERSALDATA!$A$2:$A$20871,WORKING!A34,PERSALDATA!$D$2:$D$20871,WORKING!B34,PERSALDATA!$E$2:$E$20871,WORKING!C34)</f>
        <v>1853779.4599999997</v>
      </c>
    </row>
    <row r="35" spans="1:29" x14ac:dyDescent="0.25">
      <c r="A35" s="2">
        <f>Results!$D$3</f>
        <v>34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34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34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1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5</v>
      </c>
      <c r="AC37" s="2">
        <f>SUMIFS(PERSALDATA!$H$2:$H$20871,PERSALDATA!$A$2:$A$20871,WORKING!A37,PERSALDATA!$D$2:$D$20871,WORKING!B37,PERSALDATA!$E$2:$E$20871,WORKING!C37)</f>
        <v>301972.59999999998</v>
      </c>
    </row>
    <row r="38" spans="1:29" x14ac:dyDescent="0.25">
      <c r="A38" s="2">
        <f>Results!$D$3</f>
        <v>34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1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0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0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7.5999999999999998E-2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7.0000000000000007E-2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6.9000000000000006E-2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6.7000000000000004E-2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1.4999999999999999E-2</v>
      </c>
      <c r="AB38" s="2">
        <f>SUMIFS(PERSALDATA!$G$2:$G$20871,PERSALDATA!$A$2:$A$20871,WORKING!A38,PERSALDATA!$D$2:$D$20871,WORKING!B38,PERSALDATA!$E$2:$E$20871,WORKING!C38,PERSALDATA!$F$2:$F$20871,"S&amp;W: BASIC SALARY (RES)")</f>
        <v>1</v>
      </c>
      <c r="AC38" s="2">
        <f>SUMIFS(PERSALDATA!$H$2:$H$20871,PERSALDATA!$A$2:$A$20871,WORKING!A38,PERSALDATA!$D$2:$D$20871,WORKING!B38,PERSALDATA!$E$2:$E$20871,WORKING!C38)</f>
        <v>147265.75</v>
      </c>
    </row>
    <row r="39" spans="1:29" x14ac:dyDescent="0.25">
      <c r="A39" s="2">
        <f>Results!$D$3</f>
        <v>34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34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34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0.74754950390484998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0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6.1322021010287109E-2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9.3550149830137999E-2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9.7181094829735998E-2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3.9723042498885979E-4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7.2649228500840116E-2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7.079003203734921E-2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6.9790032037349209E-2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6.7790032037349193E-2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1.2670958981018788E-2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14676.62</v>
      </c>
    </row>
    <row r="42" spans="1:29" x14ac:dyDescent="0.25">
      <c r="A42" s="2">
        <f>Results!$D$3</f>
        <v>34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0.72606648284674713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4.011084884175159E-2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5.243445173708558E-2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3.9743958353303875E-2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9.4387708593063419E-2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4.6940315641537479E-2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3.1623398651090575E-4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7.2571397084927741E-2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7.007181485792871E-2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6.9071814857928709E-2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6.7071814857928694E-2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1.3612580338846493E-2</v>
      </c>
      <c r="AB42" s="2">
        <f>SUMIFS(PERSALDATA!$G$2:$G$20871,PERSALDATA!$A$2:$A$20871,WORKING!A42,PERSALDATA!$D$2:$D$20871,WORKING!B42,PERSALDATA!$E$2:$E$20871,WORKING!C42,PERSALDATA!$F$2:$F$20871,"S&amp;W: BASIC SALARY (RES)")</f>
        <v>1</v>
      </c>
      <c r="AC42" s="2">
        <f>SUMIFS(PERSALDATA!$H$2:$H$20871,PERSALDATA!$A$2:$A$20871,WORKING!A42,PERSALDATA!$D$2:$D$20871,WORKING!B42,PERSALDATA!$E$2:$E$20871,WORKING!C42)</f>
        <v>331842.89</v>
      </c>
    </row>
    <row r="43" spans="1:29" x14ac:dyDescent="0.25">
      <c r="A43" s="2">
        <f>Results!$D$3</f>
        <v>34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0.75195763887772205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6.5476938308423216E-2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3.9313600602140834E-2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4.5154770917796717E-2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9.7835584648642726E-2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2.6146664527455565E-4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7.364433314708646E-2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7.0284185557745557E-2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6.9284185557745556E-2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6.7284185557745568E-2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1.3729052427521819E-2</v>
      </c>
      <c r="AB43" s="2">
        <f>SUMIFS(PERSALDATA!$G$2:$G$20871,PERSALDATA!$A$2:$A$20871,WORKING!A43,PERSALDATA!$D$2:$D$20871,WORKING!B43,PERSALDATA!$E$2:$E$20871,WORKING!C43,PERSALDATA!$F$2:$F$20871,"S&amp;W: BASIC SALARY (RES)")</f>
        <v>10</v>
      </c>
      <c r="AC43" s="2">
        <f>SUMIFS(PERSALDATA!$H$2:$H$20871,PERSALDATA!$A$2:$A$20871,WORKING!A43,PERSALDATA!$D$2:$D$20871,WORKING!B43,PERSALDATA!$E$2:$E$20871,WORKING!C43)</f>
        <v>2563998.17</v>
      </c>
    </row>
    <row r="44" spans="1:29" x14ac:dyDescent="0.25">
      <c r="A44" s="2">
        <f>Results!$D$3</f>
        <v>34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0.72559563741070365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7.2145736410168776E-2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3.348375567902119E-2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5.5204978488994749E-2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9.4560526126308789E-2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1.7252769459055239E-2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1.956995444698682E-4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1.5608968812776795E-3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7.4228104267240302E-2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7.0493237120544699E-2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6.9493237120544712E-2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6.7493237120544725E-2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1.3666733494312713E-2</v>
      </c>
      <c r="AB44" s="2">
        <f>SUMIFS(PERSALDATA!$G$2:$G$20871,PERSALDATA!$A$2:$A$20871,WORKING!A44,PERSALDATA!$D$2:$D$20871,WORKING!B44,PERSALDATA!$E$2:$E$20871,WORKING!C44,PERSALDATA!$F$2:$F$20871,"S&amp;W: BASIC SALARY (RES)")</f>
        <v>7</v>
      </c>
      <c r="AC44" s="2">
        <f>SUMIFS(PERSALDATA!$H$2:$H$20871,PERSALDATA!$A$2:$A$20871,WORKING!A44,PERSALDATA!$D$2:$D$20871,WORKING!B44,PERSALDATA!$E$2:$E$20871,WORKING!C44)</f>
        <v>2383245.2000000002</v>
      </c>
    </row>
    <row r="45" spans="1:29" x14ac:dyDescent="0.25">
      <c r="A45" s="2">
        <f>Results!$D$3</f>
        <v>34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0.75353296308322204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5.2393506199928074E-2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1.2004059141008903E-2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5.342122214042147E-2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8.1431735927209759E-2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1.7802862096231363E-4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4.7038484887247566E-2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7.5835588615249222E-2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7.0681277740696255E-2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6.968127774069624E-2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6.7681277740696238E-2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1.4015950351464111E-2</v>
      </c>
      <c r="AB45" s="2">
        <f>SUMIFS(PERSALDATA!$G$2:$G$20871,PERSALDATA!$A$2:$A$20871,WORKING!A45,PERSALDATA!$D$2:$D$20871,WORKING!B45,PERSALDATA!$E$2:$E$20871,WORKING!C45,PERSALDATA!$F$2:$F$20871,"S&amp;W: BASIC SALARY (RES)")</f>
        <v>2</v>
      </c>
      <c r="AC45" s="2">
        <f>SUMIFS(PERSALDATA!$H$2:$H$20871,PERSALDATA!$A$2:$A$20871,WORKING!A45,PERSALDATA!$D$2:$D$20871,WORKING!B45,PERSALDATA!$E$2:$E$20871,WORKING!C45)</f>
        <v>949678.75999999989</v>
      </c>
    </row>
    <row r="46" spans="1:29" x14ac:dyDescent="0.25">
      <c r="A46" s="2">
        <f>Results!$D$3</f>
        <v>34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0.75353554661981725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6.2099113124236535E-2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1.9667134298310379E-2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3.2832277576980276E-2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9.3588280216273245E-2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1.7872173223894099E-2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1.3695427492342856E-4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2.0268520665564595E-2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7.4964949679406118E-2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7.0295812820671585E-2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6.9295812820671585E-2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6.7295812820671597E-2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1.4210454507746785E-2</v>
      </c>
      <c r="AB46" s="2">
        <f>SUMIFS(PERSALDATA!$G$2:$G$20871,PERSALDATA!$A$2:$A$20871,WORKING!A46,PERSALDATA!$D$2:$D$20871,WORKING!B46,PERSALDATA!$E$2:$E$20871,WORKING!C46,PERSALDATA!$F$2:$F$20871,"S&amp;W: BASIC SALARY (RES)")</f>
        <v>12</v>
      </c>
      <c r="AC46" s="2">
        <f>SUMIFS(PERSALDATA!$H$2:$H$20871,PERSALDATA!$A$2:$A$20871,WORKING!A46,PERSALDATA!$D$2:$D$20871,WORKING!B46,PERSALDATA!$E$2:$E$20871,WORKING!C46)</f>
        <v>5491394.8500000015</v>
      </c>
    </row>
    <row r="47" spans="1:29" x14ac:dyDescent="0.25">
      <c r="A47" s="2">
        <f>Results!$D$3</f>
        <v>34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0.74887153651609073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5.3567898841145711E-2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7.4350800044380327E-2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1.083398788676816E-4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0.12310142471951563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1.4998374901816984E-2</v>
      </c>
      <c r="AB47" s="2">
        <f>SUMIFS(PERSALDATA!$G$2:$G$20871,PERSALDATA!$A$2:$A$20871,WORKING!A47,PERSALDATA!$D$2:$D$20871,WORKING!B47,PERSALDATA!$E$2:$E$20871,WORKING!C47,PERSALDATA!$F$2:$F$20871,"S&amp;W: BASIC SALARY (RES)")</f>
        <v>1</v>
      </c>
      <c r="AC47" s="2">
        <f>SUMIFS(PERSALDATA!$H$2:$H$20871,PERSALDATA!$A$2:$A$20871,WORKING!A47,PERSALDATA!$D$2:$D$20871,WORKING!B47,PERSALDATA!$E$2:$E$20871,WORKING!C47)</f>
        <v>379177.08999999997</v>
      </c>
    </row>
    <row r="48" spans="1:29" x14ac:dyDescent="0.25">
      <c r="A48" s="2">
        <f>Results!$D$3</f>
        <v>34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0.70992624322888342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4.6913869951692215E-2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1.1604371533313459E-3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1.3021925153951555E-2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8.9968258471530255E-2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1.6896966682811761E-2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9.5827079828528691E-5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0.12151122704287837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5.0524523509259879E-4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1.4785827159193328E-2</v>
      </c>
      <c r="AB48" s="2">
        <f>SUMIFS(PERSALDATA!$G$2:$G$20871,PERSALDATA!$A$2:$A$20871,WORKING!A48,PERSALDATA!$D$2:$D$20871,WORKING!B48,PERSALDATA!$E$2:$E$20871,WORKING!C48,PERSALDATA!$F$2:$F$20871,"S&amp;W: BASIC SALARY (RES)")</f>
        <v>24</v>
      </c>
      <c r="AC48" s="2">
        <f>SUMIFS(PERSALDATA!$H$2:$H$20871,PERSALDATA!$A$2:$A$20871,WORKING!A48,PERSALDATA!$D$2:$D$20871,WORKING!B48,PERSALDATA!$E$2:$E$20871,WORKING!C48)</f>
        <v>17579581.920000002</v>
      </c>
    </row>
    <row r="49" spans="1:29" x14ac:dyDescent="0.25">
      <c r="A49" s="2">
        <f>Results!$D$3</f>
        <v>34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0.66172562637060395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4.1419039233563666E-2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7.9726965439616191E-4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9.8530717881078252E-3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6.6919294992132186E-2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7.1267624357162869E-3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7.7037656781315072E-5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0.20730054920798616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4.7813486607125137E-3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1.4839089313510722E-2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13546232.369999999</v>
      </c>
    </row>
    <row r="50" spans="1:29" x14ac:dyDescent="0.25">
      <c r="A50" s="2">
        <f>Results!$D$3</f>
        <v>34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0.59315191177539328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3.1249934393634091E-2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2.0565370004600833E-2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7.7109611210894616E-2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1.5504284099521145E-2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6.209016422932309E-5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0.26235679835172659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1.4690588097467544E-2</v>
      </c>
      <c r="AB50" s="2">
        <f>SUMIFS(PERSALDATA!$G$2:$G$20871,PERSALDATA!$A$2:$A$20871,WORKING!A50,PERSALDATA!$D$2:$D$20871,WORKING!B50,PERSALDATA!$E$2:$E$20871,WORKING!C50,PERSALDATA!$F$2:$F$20871,"S&amp;W: BASIC SALARY (RES)")</f>
        <v>8</v>
      </c>
      <c r="AC50" s="2">
        <f>SUMIFS(PERSALDATA!$H$2:$H$20871,PERSALDATA!$A$2:$A$20871,WORKING!A50,PERSALDATA!$D$2:$D$20871,WORKING!B50,PERSALDATA!$E$2:$E$20871,WORKING!C50)</f>
        <v>7511656.7300000004</v>
      </c>
    </row>
    <row r="51" spans="1:29" x14ac:dyDescent="0.25">
      <c r="A51" s="2">
        <f>Results!$D$3</f>
        <v>34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0.64998505186402866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5.3662865579920546E-2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2.024254019193384E-2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8.4497924597285834E-2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5.2334372203536266E-5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0.19155928339462761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1.4695576881537938E-2</v>
      </c>
      <c r="AB51" s="2">
        <f>SUMIFS(PERSALDATA!$G$2:$G$20871,PERSALDATA!$A$2:$A$20871,WORKING!A51,PERSALDATA!$D$2:$D$20871,WORKING!B51,PERSALDATA!$E$2:$E$20871,WORKING!C51,PERSALDATA!$F$2:$F$20871,"S&amp;W: BASIC SALARY (RES)")</f>
        <v>2</v>
      </c>
      <c r="AC51" s="2">
        <f>SUMIFS(PERSALDATA!$H$2:$H$20871,PERSALDATA!$A$2:$A$20871,WORKING!A51,PERSALDATA!$D$2:$D$20871,WORKING!B51,PERSALDATA!$E$2:$E$20871,WORKING!C51)</f>
        <v>2673577.5</v>
      </c>
    </row>
    <row r="52" spans="1:29" x14ac:dyDescent="0.25">
      <c r="A52" s="2">
        <f>Results!$D$3</f>
        <v>34</v>
      </c>
      <c r="B52" s="2">
        <v>3</v>
      </c>
      <c r="C52" s="2">
        <v>16</v>
      </c>
      <c r="D52" s="62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>0.60603767103687178</v>
      </c>
      <c r="E52" s="62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>0</v>
      </c>
      <c r="F52" s="62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>0</v>
      </c>
      <c r="G52" s="69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>0</v>
      </c>
      <c r="H52" s="62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>1.0586758145263364E-2</v>
      </c>
      <c r="I52" s="62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>1.5756954116678441E-2</v>
      </c>
      <c r="J52" s="62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>0</v>
      </c>
      <c r="K52" s="62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>3.7865521464346873E-5</v>
      </c>
      <c r="L52" s="62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>0</v>
      </c>
      <c r="M52" s="62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>0.36758075117972205</v>
      </c>
      <c r="N52" s="62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>0</v>
      </c>
      <c r="O52" s="62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>0</v>
      </c>
      <c r="P52" s="62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>0</v>
      </c>
      <c r="Q52" s="62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>0</v>
      </c>
      <c r="R52" s="62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>0</v>
      </c>
      <c r="S52" s="62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>0</v>
      </c>
      <c r="T52" s="62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>0</v>
      </c>
      <c r="U52" s="62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>0</v>
      </c>
      <c r="V52" s="62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>0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1.4840630644999086E-2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769829.62</v>
      </c>
    </row>
    <row r="53" spans="1:29" x14ac:dyDescent="0.25">
      <c r="A53" s="2">
        <f>Results!$D$3</f>
        <v>34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34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1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3</v>
      </c>
      <c r="AC54" s="2">
        <f>SUMIFS(PERSALDATA!$H$2:$H$20871,PERSALDATA!$A$2:$A$20871,WORKING!A54,PERSALDATA!$D$2:$D$20871,WORKING!B54,PERSALDATA!$E$2:$E$20871,WORKING!C54)</f>
        <v>174000</v>
      </c>
    </row>
    <row r="55" spans="1:29" x14ac:dyDescent="0.25">
      <c r="A55" s="2">
        <f>Results!$D$3</f>
        <v>34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1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0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0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0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0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0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0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0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0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0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7.5999999999999998E-2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7.0000000000000007E-2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6.9000000000000006E-2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6.7000000000000004E-2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1.4999999999999999E-2</v>
      </c>
      <c r="AB55" s="2">
        <f>SUMIFS(PERSALDATA!$G$2:$G$20871,PERSALDATA!$A$2:$A$20871,WORKING!A55,PERSALDATA!$D$2:$D$20871,WORKING!B55,PERSALDATA!$E$2:$E$20871,WORKING!C55,PERSALDATA!$F$2:$F$20871,"S&amp;W: BASIC SALARY (RES)")</f>
        <v>4</v>
      </c>
      <c r="AC55" s="2">
        <f>SUMIFS(PERSALDATA!$H$2:$H$20871,PERSALDATA!$A$2:$A$20871,WORKING!A55,PERSALDATA!$D$2:$D$20871,WORKING!B55,PERSALDATA!$E$2:$E$20871,WORKING!C55)</f>
        <v>370523.29</v>
      </c>
    </row>
    <row r="56" spans="1:29" x14ac:dyDescent="0.25">
      <c r="A56" s="2">
        <f>Results!$D$3</f>
        <v>34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34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34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34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34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0.74197916026220678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6.0074432924553736E-2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4.255124356681185E-2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4.7751204600821606E-2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9.6456612129310115E-2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1.0932019147880442E-2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2.5532736841540535E-4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7.3434622353333798E-2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7.0290755633344193E-2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6.9290755633344206E-2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6.7290755633344204E-2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1.3641633366959267E-2</v>
      </c>
      <c r="AB60" s="2">
        <f>SUMIFS(PERSALDATA!$G$2:$G$20871,PERSALDATA!$A$2:$A$20871,WORKING!A60,PERSALDATA!$D$2:$D$20871,WORKING!B60,PERSALDATA!$E$2:$E$20871,WORKING!C60,PERSALDATA!$F$2:$F$20871,"S&amp;W: BASIC SALARY (RES)")</f>
        <v>15</v>
      </c>
      <c r="AC60" s="2">
        <f>SUMIFS(PERSALDATA!$H$2:$H$20871,PERSALDATA!$A$2:$A$20871,WORKING!A60,PERSALDATA!$D$2:$D$20871,WORKING!B60,PERSALDATA!$E$2:$E$20871,WORKING!C60)</f>
        <v>4018683.9600000004</v>
      </c>
    </row>
    <row r="61" spans="1:29" x14ac:dyDescent="0.25">
      <c r="A61" s="2">
        <f>Results!$D$3</f>
        <v>34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0.74376861158157048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5.4300879095677351E-2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2.3191568892018094E-2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3.5124241391405929E-2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9.2799986073123827E-2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2.060073701368333E-2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2.0320561161754166E-4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1.2231363631931842E-2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1.7779406708971789E-2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7.4729180143686333E-2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7.029494793195093E-2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6.9294947931950929E-2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6.7294947931950913E-2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1.4122214761574377E-2</v>
      </c>
      <c r="AB61" s="2">
        <f>SUMIFS(PERSALDATA!$G$2:$G$20871,PERSALDATA!$A$2:$A$20871,WORKING!A61,PERSALDATA!$D$2:$D$20871,WORKING!B61,PERSALDATA!$E$2:$E$20871,WORKING!C61,PERSALDATA!$F$2:$F$20871,"S&amp;W: BASIC SALARY (RES)")</f>
        <v>23</v>
      </c>
      <c r="AC61" s="2">
        <f>SUMIFS(PERSALDATA!$H$2:$H$20871,PERSALDATA!$A$2:$A$20871,WORKING!A61,PERSALDATA!$D$2:$D$20871,WORKING!B61,PERSALDATA!$E$2:$E$20871,WORKING!C61)</f>
        <v>7373369.209999999</v>
      </c>
    </row>
    <row r="62" spans="1:29" x14ac:dyDescent="0.25">
      <c r="A62" s="2">
        <f>Results!$D$3</f>
        <v>34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0.77854918834500697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6.4471843706698159E-2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4.9214410416831477E-3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2.114274767334318E-2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0.10121098436476408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2.9523141527155967E-2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1.8065334134859882E-4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7.5921968948258881E-2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7.0267926804683314E-2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6.9267926804683327E-2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6.7267926804683326E-2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1.4606327369154378E-2</v>
      </c>
      <c r="AB62" s="2">
        <f>SUMIFS(PERSALDATA!$G$2:$G$20871,PERSALDATA!$A$2:$A$20871,WORKING!A62,PERSALDATA!$D$2:$D$20871,WORKING!B62,PERSALDATA!$E$2:$E$20871,WORKING!C62,PERSALDATA!$F$2:$F$20871,"S&amp;W: BASIC SALARY (RES)")</f>
        <v>1</v>
      </c>
      <c r="AC62" s="2">
        <f>SUMIFS(PERSALDATA!$H$2:$H$20871,PERSALDATA!$A$2:$A$20871,WORKING!A62,PERSALDATA!$D$2:$D$20871,WORKING!B62,PERSALDATA!$E$2:$E$20871,WORKING!C62)</f>
        <v>548619.79999999993</v>
      </c>
    </row>
    <row r="63" spans="1:29" x14ac:dyDescent="0.25">
      <c r="A63" s="2">
        <f>Results!$D$3</f>
        <v>34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0.78534921927300894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6.6155883819067576E-2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2.1315205708545098E-2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2.4935036349502646E-2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0.10209745979194296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0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1.4719505793280504E-4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7.4729134875043596E-2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7.0160873488157111E-2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6.9160873488157096E-2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6.7160873488157094E-2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1.4304038443260291E-2</v>
      </c>
      <c r="AB63" s="2">
        <f>SUMIFS(PERSALDATA!$G$2:$G$20871,PERSALDATA!$A$2:$A$20871,WORKING!A63,PERSALDATA!$D$2:$D$20871,WORKING!B63,PERSALDATA!$E$2:$E$20871,WORKING!C63,PERSALDATA!$F$2:$F$20871,"S&amp;W: BASIC SALARY (RES)")</f>
        <v>23</v>
      </c>
      <c r="AC63" s="2">
        <f>SUMIFS(PERSALDATA!$H$2:$H$20871,PERSALDATA!$A$2:$A$20871,WORKING!A63,PERSALDATA!$D$2:$D$20871,WORKING!B63,PERSALDATA!$E$2:$E$20871,WORKING!C63)</f>
        <v>10654365.859999999</v>
      </c>
    </row>
    <row r="64" spans="1:29" x14ac:dyDescent="0.25">
      <c r="A64" s="2">
        <f>Results!$D$3</f>
        <v>34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0.6844163491338866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5.7327806400527266E-2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0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1.6210288264704401E-2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8.8973853855695867E-2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0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9.5732634109553478E-5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0.15297596971107638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1.4755409686517789E-2</v>
      </c>
      <c r="AB64" s="2">
        <f>SUMIFS(PERSALDATA!$G$2:$G$20871,PERSALDATA!$A$2:$A$20871,WORKING!A64,PERSALDATA!$D$2:$D$20871,WORKING!B64,PERSALDATA!$E$2:$E$20871,WORKING!C64,PERSALDATA!$F$2:$F$20871,"S&amp;W: BASIC SALARY (RES)")</f>
        <v>2</v>
      </c>
      <c r="AC64" s="2">
        <f>SUMIFS(PERSALDATA!$H$2:$H$20871,PERSALDATA!$A$2:$A$20871,WORKING!A64,PERSALDATA!$D$2:$D$20871,WORKING!B64,PERSALDATA!$E$2:$E$20871,WORKING!C64)</f>
        <v>2131979.36</v>
      </c>
    </row>
    <row r="65" spans="1:29" x14ac:dyDescent="0.25">
      <c r="A65" s="2">
        <f>Results!$D$3</f>
        <v>34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0.7168882690703664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3.8283593171866359E-2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-3.0031684458191233E-5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1.4866150966340677E-2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9.3211501000483796E-2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3.5351487032553746E-3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9.9407545039675928E-5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0.1312221188406697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5.9277539839726464E-4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1.3310669880390146E-3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1.4775967097596168E-2</v>
      </c>
      <c r="AB65" s="2">
        <f>SUMIFS(PERSALDATA!$G$2:$G$20871,PERSALDATA!$A$2:$A$20871,WORKING!A65,PERSALDATA!$D$2:$D$20871,WORKING!B65,PERSALDATA!$E$2:$E$20871,WORKING!C65,PERSALDATA!$F$2:$F$20871,"S&amp;W: BASIC SALARY (RES)")</f>
        <v>44</v>
      </c>
      <c r="AC65" s="2">
        <f>SUMIFS(PERSALDATA!$H$2:$H$20871,PERSALDATA!$A$2:$A$20871,WORKING!A65,PERSALDATA!$D$2:$D$20871,WORKING!B65,PERSALDATA!$E$2:$E$20871,WORKING!C65)</f>
        <v>29968348.969999991</v>
      </c>
    </row>
    <row r="66" spans="1:29" x14ac:dyDescent="0.25">
      <c r="A66" s="2">
        <f>Results!$D$3</f>
        <v>34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0.6276632646620155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3.3242510539406717E-2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3.232092517553741E-3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1.4544234021530668E-2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8.1618945355778141E-2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9.7251499499013076E-3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7.5462527401235277E-5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0.22665030366292027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1.3873506641147789E-3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1.8606860993777858E-3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1.4732223164002719E-2</v>
      </c>
      <c r="AB66" s="2">
        <f>SUMIFS(PERSALDATA!$G$2:$G$20871,PERSALDATA!$A$2:$A$20871,WORKING!A66,PERSALDATA!$D$2:$D$20871,WORKING!B66,PERSALDATA!$E$2:$E$20871,WORKING!C66,PERSALDATA!$F$2:$F$20871,"S&amp;W: BASIC SALARY (RES)")</f>
        <v>31</v>
      </c>
      <c r="AC66" s="2">
        <f>SUMIFS(PERSALDATA!$H$2:$H$20871,PERSALDATA!$A$2:$A$20871,WORKING!A66,PERSALDATA!$D$2:$D$20871,WORKING!B66,PERSALDATA!$E$2:$E$20871,WORKING!C66)</f>
        <v>27426195.109999999</v>
      </c>
    </row>
    <row r="67" spans="1:29" x14ac:dyDescent="0.25">
      <c r="A67" s="2">
        <f>Results!$D$3</f>
        <v>34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0.62633605629563882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3.1353555312135337E-2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9.2448652183912804E-3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7.5057124876771228E-2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1.0676651387439005E-2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6.1792780218879542E-5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0.24726995412940544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1.4860400130020846E-2</v>
      </c>
      <c r="AB67" s="2">
        <f>SUMIFS(PERSALDATA!$G$2:$G$20871,PERSALDATA!$A$2:$A$20871,WORKING!A67,PERSALDATA!$D$2:$D$20871,WORKING!B67,PERSALDATA!$E$2:$E$20871,WORKING!C67,PERSALDATA!$F$2:$F$20871,"S&amp;W: BASIC SALARY (RES)")</f>
        <v>13</v>
      </c>
      <c r="AC67" s="2">
        <f>SUMIFS(PERSALDATA!$H$2:$H$20871,PERSALDATA!$A$2:$A$20871,WORKING!A67,PERSALDATA!$D$2:$D$20871,WORKING!B67,PERSALDATA!$E$2:$E$20871,WORKING!C67)</f>
        <v>14718224.310000001</v>
      </c>
    </row>
    <row r="68" spans="1:29" x14ac:dyDescent="0.25">
      <c r="A68" s="2">
        <f>Results!$D$3</f>
        <v>34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0.60058642592584466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5.6974195143608686E-3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7.8076113194425575E-2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5.4097647831797817E-5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0.31558594371753718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1.491372724256711E-2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1293217.04</v>
      </c>
    </row>
    <row r="69" spans="1:29" x14ac:dyDescent="0.25">
      <c r="A69" s="2">
        <f>Results!$D$3</f>
        <v>34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34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34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1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1</v>
      </c>
      <c r="AC71" s="2">
        <f>SUMIFS(PERSALDATA!$H$2:$H$20871,PERSALDATA!$A$2:$A$20871,WORKING!A71,PERSALDATA!$D$2:$D$20871,WORKING!B71,PERSALDATA!$E$2:$E$20871,WORKING!C71)</f>
        <v>60000</v>
      </c>
    </row>
    <row r="72" spans="1:29" x14ac:dyDescent="0.25">
      <c r="A72" s="2">
        <f>Results!$D$3</f>
        <v>34</v>
      </c>
      <c r="B72" s="2">
        <v>5</v>
      </c>
      <c r="C72" s="2">
        <v>2</v>
      </c>
      <c r="D72" s="62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>1</v>
      </c>
      <c r="E72" s="62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>0</v>
      </c>
      <c r="F72" s="62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>0</v>
      </c>
      <c r="G72" s="69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>0</v>
      </c>
      <c r="H72" s="62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>0</v>
      </c>
      <c r="I72" s="62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>0</v>
      </c>
      <c r="J72" s="62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>0</v>
      </c>
      <c r="K72" s="62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>0</v>
      </c>
      <c r="L72" s="62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>0</v>
      </c>
      <c r="M72" s="62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>0</v>
      </c>
      <c r="N72" s="62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>0</v>
      </c>
      <c r="O72" s="62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>0</v>
      </c>
      <c r="P72" s="62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>0</v>
      </c>
      <c r="Q72" s="62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>0</v>
      </c>
      <c r="R72" s="62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>0</v>
      </c>
      <c r="S72" s="62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>0</v>
      </c>
      <c r="T72" s="62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>0</v>
      </c>
      <c r="U72" s="62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>0</v>
      </c>
      <c r="V72" s="62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>0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7.5999999999999998E-2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7.0000000000000007E-2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6.9000000000000006E-2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6.7000000000000004E-2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1.4999999999999999E-2</v>
      </c>
      <c r="AB72" s="2">
        <f>SUMIFS(PERSALDATA!$G$2:$G$20871,PERSALDATA!$A$2:$A$20871,WORKING!A72,PERSALDATA!$D$2:$D$20871,WORKING!B72,PERSALDATA!$E$2:$E$20871,WORKING!C72,PERSALDATA!$F$2:$F$20871,"S&amp;W: BASIC SALARY (RES)")</f>
        <v>5</v>
      </c>
      <c r="AC72" s="2">
        <f>SUMIFS(PERSALDATA!$H$2:$H$20871,PERSALDATA!$A$2:$A$20871,WORKING!A72,PERSALDATA!$D$2:$D$20871,WORKING!B72,PERSALDATA!$E$2:$E$20871,WORKING!C72)</f>
        <v>449799.97000000003</v>
      </c>
    </row>
    <row r="73" spans="1:29" x14ac:dyDescent="0.25">
      <c r="A73" s="2">
        <f>Results!$D$3</f>
        <v>34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0.62573341215145628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5.3889306596740842E-2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6.6974254743980333E-2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0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0.1340292898390773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8.1344168592763985E-2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3.761855764949975E-2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4.1101042648147927E-4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0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0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0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7.2786366697204577E-2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7.1340696800146361E-2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7.034069680014636E-2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6.8340696800146358E-2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1.1978781674856913E-2</v>
      </c>
      <c r="AB73" s="2">
        <f>SUMIFS(PERSALDATA!$G$2:$G$20871,PERSALDATA!$A$2:$A$20871,WORKING!A73,PERSALDATA!$D$2:$D$20871,WORKING!B73,PERSALDATA!$E$2:$E$20871,WORKING!C73,PERSALDATA!$F$2:$F$20871,"S&amp;W: BASIC SALARY (RES)")</f>
        <v>1</v>
      </c>
      <c r="AC73" s="2">
        <f>SUMIFS(PERSALDATA!$H$2:$H$20871,PERSALDATA!$A$2:$A$20871,WORKING!A73,PERSALDATA!$D$2:$D$20871,WORKING!B73,PERSALDATA!$E$2:$E$20871,WORKING!C73)</f>
        <v>170214.66</v>
      </c>
    </row>
    <row r="74" spans="1:29" x14ac:dyDescent="0.25">
      <c r="A74" s="2">
        <f>Results!$D$3</f>
        <v>34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34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34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34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0.72075065763796242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5.9238418969236151E-2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2.3679280814180609E-2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9.0422274777250677E-2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9.3696924689626024E-2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1.1960296614672697E-2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2.5214649707154877E-4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7.5466286505003796E-2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7.1119541313516985E-2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7.011954131351697E-2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6.8119541313516968E-2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1.328469446867246E-2</v>
      </c>
      <c r="AB77" s="2">
        <f>SUMIFS(PERSALDATA!$G$2:$G$20871,PERSALDATA!$A$2:$A$20871,WORKING!A77,PERSALDATA!$D$2:$D$20871,WORKING!B77,PERSALDATA!$E$2:$E$20871,WORKING!C77,PERSALDATA!$F$2:$F$20871,"S&amp;W: BASIC SALARY (RES)")</f>
        <v>8</v>
      </c>
      <c r="AC77" s="2">
        <f>SUMIFS(PERSALDATA!$H$2:$H$20871,PERSALDATA!$A$2:$A$20871,WORKING!A77,PERSALDATA!$D$2:$D$20871,WORKING!B77,PERSALDATA!$E$2:$E$20871,WORKING!C77)</f>
        <v>1849718.3399999999</v>
      </c>
    </row>
    <row r="78" spans="1:29" x14ac:dyDescent="0.25">
      <c r="A78" s="2">
        <f>Results!$D$3</f>
        <v>34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0.7587617334968938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5.1750531704083946E-2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2.6291578389405774E-2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0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3.5278405043715634E-2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9.0834201605406423E-2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1.4660181188646175E-2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2.1118564276965799E-4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2.2212182929078554E-2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7.4495737713017179E-2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7.0266260291761667E-2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6.9266260291761667E-2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6.7266260291761665E-2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1.4073282463861633E-2</v>
      </c>
      <c r="AB78" s="2">
        <f>SUMIFS(PERSALDATA!$G$2:$G$20871,PERSALDATA!$A$2:$A$20871,WORKING!A78,PERSALDATA!$D$2:$D$20871,WORKING!B78,PERSALDATA!$E$2:$E$20871,WORKING!C78,PERSALDATA!$F$2:$F$20871,"S&amp;W: BASIC SALARY (RES)")</f>
        <v>10</v>
      </c>
      <c r="AC78" s="2">
        <f>SUMIFS(PERSALDATA!$H$2:$H$20871,PERSALDATA!$A$2:$A$20871,WORKING!A78,PERSALDATA!$D$2:$D$20871,WORKING!B78,PERSALDATA!$E$2:$E$20871,WORKING!C78)</f>
        <v>3423149.37</v>
      </c>
    </row>
    <row r="79" spans="1:29" x14ac:dyDescent="0.25">
      <c r="A79" s="2">
        <f>Results!$D$3</f>
        <v>34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0.78874819517617445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2.8202386505276476E-2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2.050774330112316E-2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2.9382139411794864E-2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9.1158340124124715E-2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9.4275595059305651E-3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1.8877917386139165E-4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3.2384856801714164E-2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7.4852761460879741E-2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7.0235654658165683E-2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6.9235654658165668E-2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6.7235654658165667E-2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1.4248820071698304E-2</v>
      </c>
      <c r="AB79" s="2">
        <f>SUMIFS(PERSALDATA!$G$2:$G$20871,PERSALDATA!$A$2:$A$20871,WORKING!A79,PERSALDATA!$D$2:$D$20871,WORKING!B79,PERSALDATA!$E$2:$E$20871,WORKING!C79,PERSALDATA!$F$2:$F$20871,"S&amp;W: BASIC SALARY (RES)")</f>
        <v>2</v>
      </c>
      <c r="AC79" s="2">
        <f>SUMIFS(PERSALDATA!$H$2:$H$20871,PERSALDATA!$A$2:$A$20871,WORKING!A79,PERSALDATA!$D$2:$D$20871,WORKING!B79,PERSALDATA!$E$2:$E$20871,WORKING!C79)</f>
        <v>1667662.7700000003</v>
      </c>
    </row>
    <row r="80" spans="1:29" x14ac:dyDescent="0.25">
      <c r="A80" s="2">
        <f>Results!$D$3</f>
        <v>34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0.75277164254250184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6.4419719264851766E-2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2.1046912120708035E-2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2.9079036838988048E-2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9.7885893842835789E-2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2.4735960724960215E-2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1.2499208513808721E-4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9.9358425800163668E-3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7.480754119457203E-2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7.0225716431377747E-2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6.9225716431377773E-2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6.7225716431377758E-2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1.4246235884327491E-2</v>
      </c>
      <c r="AB80" s="2">
        <f>SUMIFS(PERSALDATA!$G$2:$G$20871,PERSALDATA!$A$2:$A$20871,WORKING!A80,PERSALDATA!$D$2:$D$20871,WORKING!B80,PERSALDATA!$E$2:$E$20871,WORKING!C80,PERSALDATA!$F$2:$F$20871,"S&amp;W: BASIC SALARY (RES)")</f>
        <v>21</v>
      </c>
      <c r="AC80" s="2">
        <f>SUMIFS(PERSALDATA!$H$2:$H$20871,PERSALDATA!$A$2:$A$20871,WORKING!A80,PERSALDATA!$D$2:$D$20871,WORKING!B80,PERSALDATA!$E$2:$E$20871,WORKING!C80)</f>
        <v>9934949.0699999984</v>
      </c>
    </row>
    <row r="81" spans="1:29" x14ac:dyDescent="0.25">
      <c r="A81" s="2">
        <f>Results!$D$3</f>
        <v>34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0.73789936490656327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1.9498058245317702E-2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3.3475522941717374E-4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2.7110152254349817E-2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9.5926549123412044E-2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9.1498702649134341E-3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1.1709737925012736E-4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0.10996415259677654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1.4586569927054744E-2</v>
      </c>
      <c r="AB81" s="2">
        <f>SUMIFS(PERSALDATA!$G$2:$G$20871,PERSALDATA!$A$2:$A$20871,WORKING!A81,PERSALDATA!$D$2:$D$20871,WORKING!B81,PERSALDATA!$E$2:$E$20871,WORKING!C81,PERSALDATA!$F$2:$F$20871,"S&amp;W: BASIC SALARY (RES)")</f>
        <v>6</v>
      </c>
      <c r="AC81" s="2">
        <f>SUMIFS(PERSALDATA!$H$2:$H$20871,PERSALDATA!$A$2:$A$20871,WORKING!A81,PERSALDATA!$D$2:$D$20871,WORKING!B81,PERSALDATA!$E$2:$E$20871,WORKING!C81)</f>
        <v>3584708.7499999995</v>
      </c>
    </row>
    <row r="82" spans="1:29" x14ac:dyDescent="0.25">
      <c r="A82" s="2">
        <f>Results!$D$3</f>
        <v>34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0.72489569921132802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6.5848171281863863E-2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0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1.7146832639908939E-2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9.423621029922849E-2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1.7427130381262822E-2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9.6385983475851748E-5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8.0349570202931958E-2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0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1.4741351720649226E-2</v>
      </c>
      <c r="AB82" s="2">
        <f>SUMIFS(PERSALDATA!$G$2:$G$20871,PERSALDATA!$A$2:$A$20871,WORKING!A82,PERSALDATA!$D$2:$D$20871,WORKING!B82,PERSALDATA!$E$2:$E$20871,WORKING!C82,PERSALDATA!$F$2:$F$20871,"S&amp;W: BASIC SALARY (RES)")</f>
        <v>8</v>
      </c>
      <c r="AC82" s="2">
        <f>SUMIFS(PERSALDATA!$H$2:$H$20871,PERSALDATA!$A$2:$A$20871,WORKING!A82,PERSALDATA!$D$2:$D$20871,WORKING!B82,PERSALDATA!$E$2:$E$20871,WORKING!C82)</f>
        <v>5927625.3600000013</v>
      </c>
    </row>
    <row r="83" spans="1:29" x14ac:dyDescent="0.25">
      <c r="A83" s="2">
        <f>Results!$D$3</f>
        <v>34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0.64514318937710224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5.1425711652911758E-2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0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1.3223644907116873E-2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8.4673769064366772E-2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9.8680822569809316E-3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7.7357674114987991E-5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0.1916406326147243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3.9476124526821388E-3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1.4800484961281521E-2</v>
      </c>
      <c r="AB83" s="2">
        <f>SUMIFS(PERSALDATA!$G$2:$G$20871,PERSALDATA!$A$2:$A$20871,WORKING!A83,PERSALDATA!$D$2:$D$20871,WORKING!B83,PERSALDATA!$E$2:$E$20871,WORKING!C83,PERSALDATA!$F$2:$F$20871,"S&amp;W: BASIC SALARY (RES)")</f>
        <v>22</v>
      </c>
      <c r="AC83" s="2">
        <f>SUMIFS(PERSALDATA!$H$2:$H$20871,PERSALDATA!$A$2:$A$20871,WORKING!A83,PERSALDATA!$D$2:$D$20871,WORKING!B83,PERSALDATA!$E$2:$E$20871,WORKING!C83)</f>
        <v>20197608.289999999</v>
      </c>
    </row>
    <row r="84" spans="1:29" x14ac:dyDescent="0.25">
      <c r="A84" s="2">
        <f>Results!$D$3</f>
        <v>34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0.64790511258962202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5.2676097196118418E-2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4.3658689533021353E-3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1.4384307202101855E-2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8.4227522486898784E-2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6.3648776927268218E-5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0.18746077652755558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6.9377100009146153E-3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1.9789562665593042E-3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1.4717792626015028E-2</v>
      </c>
      <c r="AB84" s="2">
        <f>SUMIFS(PERSALDATA!$G$2:$G$20871,PERSALDATA!$A$2:$A$20871,WORKING!A84,PERSALDATA!$D$2:$D$20871,WORKING!B84,PERSALDATA!$E$2:$E$20871,WORKING!C84,PERSALDATA!$F$2:$F$20871,"S&amp;W: BASIC SALARY (RES)")</f>
        <v>5</v>
      </c>
      <c r="AC84" s="2">
        <f>SUMIFS(PERSALDATA!$H$2:$H$20871,PERSALDATA!$A$2:$A$20871,WORKING!A84,PERSALDATA!$D$2:$D$20871,WORKING!B84,PERSALDATA!$E$2:$E$20871,WORKING!C84)</f>
        <v>4488224.5</v>
      </c>
    </row>
    <row r="85" spans="1:29" x14ac:dyDescent="0.25">
      <c r="A85" s="2">
        <f>Results!$D$3</f>
        <v>34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0.55728409080549091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2.9866494011287454E-2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1.5327530918377155E-2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4.6591660927048473E-2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3.5412674287824249E-2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4.9442736215864339E-5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0.31546810631375594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1.4769345395181106E-2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2122455.3499999996</v>
      </c>
    </row>
    <row r="86" spans="1:29" x14ac:dyDescent="0.25">
      <c r="A86" s="2">
        <f>Results!$D$3</f>
        <v>34</v>
      </c>
      <c r="B86" s="2">
        <v>5</v>
      </c>
      <c r="C86" s="2">
        <v>16</v>
      </c>
      <c r="D86" s="62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>0.62078816271055848</v>
      </c>
      <c r="E86" s="62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>0</v>
      </c>
      <c r="F86" s="62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>0</v>
      </c>
      <c r="G86" s="69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>0</v>
      </c>
      <c r="H86" s="62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>7.2683233092898977E-3</v>
      </c>
      <c r="I86" s="62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>5.4089568930459533E-2</v>
      </c>
      <c r="J86" s="62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>0</v>
      </c>
      <c r="K86" s="62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>2.5996518339362026E-5</v>
      </c>
      <c r="L86" s="62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>0</v>
      </c>
      <c r="M86" s="62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>0.31782794853135277</v>
      </c>
      <c r="N86" s="62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>0</v>
      </c>
      <c r="O86" s="62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>0</v>
      </c>
      <c r="P86" s="62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>0</v>
      </c>
      <c r="Q86" s="62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>0</v>
      </c>
      <c r="R86" s="62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>0</v>
      </c>
      <c r="S86" s="62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>0</v>
      </c>
      <c r="T86" s="62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>0</v>
      </c>
      <c r="U86" s="62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>0</v>
      </c>
      <c r="V86" s="62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>0</v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1.4890585202585561E-2</v>
      </c>
      <c r="AB86" s="2">
        <f>SUMIFS(PERSALDATA!$G$2:$G$20871,PERSALDATA!$A$2:$A$20871,WORKING!A86,PERSALDATA!$D$2:$D$20871,WORKING!B86,PERSALDATA!$E$2:$E$20871,WORKING!C86,PERSALDATA!$F$2:$F$20871,"S&amp;W: BASIC SALARY (RES)")</f>
        <v>1</v>
      </c>
      <c r="AC86" s="2">
        <f>SUMIFS(PERSALDATA!$H$2:$H$20871,PERSALDATA!$A$2:$A$20871,WORKING!A86,PERSALDATA!$D$2:$D$20871,WORKING!B86,PERSALDATA!$E$2:$E$20871,WORKING!C86)</f>
        <v>224260.80000000002</v>
      </c>
    </row>
    <row r="87" spans="1:29" x14ac:dyDescent="0.25">
      <c r="A87" s="2">
        <f>Results!$D$3</f>
        <v>34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34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1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0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0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0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0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0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0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0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0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0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7.5999999999999998E-2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7.0000000000000007E-2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6.9000000000000006E-2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6.7000000000000004E-2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1.4999999999999999E-2</v>
      </c>
      <c r="AB88" s="2">
        <f>SUMIFS(PERSALDATA!$G$2:$G$20871,PERSALDATA!$A$2:$A$20871,WORKING!A88,PERSALDATA!$D$2:$D$20871,WORKING!B88,PERSALDATA!$E$2:$E$20871,WORKING!C88,PERSALDATA!$F$2:$F$20871,"S&amp;W: BASIC SALARY (RES)")</f>
        <v>6</v>
      </c>
      <c r="AC88" s="2">
        <f>SUMIFS(PERSALDATA!$H$2:$H$20871,PERSALDATA!$A$2:$A$20871,WORKING!A88,PERSALDATA!$D$2:$D$20871,WORKING!B88,PERSALDATA!$E$2:$E$20871,WORKING!C88)</f>
        <v>433183.56</v>
      </c>
    </row>
    <row r="89" spans="1:29" x14ac:dyDescent="0.25">
      <c r="A89" s="2">
        <f>Results!$D$3</f>
        <v>34</v>
      </c>
      <c r="B89" s="2">
        <v>6</v>
      </c>
      <c r="C89" s="2">
        <v>2</v>
      </c>
      <c r="D89" s="62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>0.99995071497395061</v>
      </c>
      <c r="E89" s="62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>0</v>
      </c>
      <c r="F89" s="62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>0</v>
      </c>
      <c r="G89" s="69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>0</v>
      </c>
      <c r="H89" s="62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>0</v>
      </c>
      <c r="I89" s="62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>0</v>
      </c>
      <c r="J89" s="62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>0</v>
      </c>
      <c r="K89" s="62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>4.9285026049438505E-5</v>
      </c>
      <c r="L89" s="62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>0</v>
      </c>
      <c r="M89" s="62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>0</v>
      </c>
      <c r="N89" s="62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>0</v>
      </c>
      <c r="O89" s="62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>0</v>
      </c>
      <c r="P89" s="62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>0</v>
      </c>
      <c r="Q89" s="62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>0</v>
      </c>
      <c r="R89" s="62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>0</v>
      </c>
      <c r="S89" s="62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>0</v>
      </c>
      <c r="T89" s="62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>0</v>
      </c>
      <c r="U89" s="62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>0</v>
      </c>
      <c r="V89" s="62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>0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7.6000000000000012E-2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7.0000000000000007E-2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6.9000000000000006E-2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6.7000000000000018E-2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1.4999260724609258E-2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117277</v>
      </c>
    </row>
    <row r="90" spans="1:29" x14ac:dyDescent="0.25">
      <c r="A90" s="2">
        <f>Results!$D$3</f>
        <v>34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0.67231182303461789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3.4804289204961293E-2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8.7972062158322234E-2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0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0.11705660337522088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8.739933145142631E-2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4.5589077545157207E-4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0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0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0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7.0952915723220628E-2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7.0876128429045115E-2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6.9876128429045115E-2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6.7876128429045099E-2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1.1917731655365082E-2</v>
      </c>
      <c r="AB90" s="2">
        <f>SUMIFS(PERSALDATA!$G$2:$G$20871,PERSALDATA!$A$2:$A$20871,WORKING!A90,PERSALDATA!$D$2:$D$20871,WORKING!B90,PERSALDATA!$E$2:$E$20871,WORKING!C90,PERSALDATA!$F$2:$F$20871,"S&amp;W: BASIC SALARY (RES)")</f>
        <v>1</v>
      </c>
      <c r="AC90" s="2">
        <f>SUMIFS(PERSALDATA!$H$2:$H$20871,PERSALDATA!$A$2:$A$20871,WORKING!A90,PERSALDATA!$D$2:$D$20871,WORKING!B90,PERSALDATA!$E$2:$E$20871,WORKING!C90)</f>
        <v>153457.80999999997</v>
      </c>
    </row>
    <row r="91" spans="1:29" x14ac:dyDescent="0.25">
      <c r="A91" s="2">
        <f>Results!$D$3</f>
        <v>34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0.60305729367723881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5.0441320718668928E-2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7.0567406378614E-2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0.14756951477590013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7.8396781708091931E-2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4.9601986759986408E-2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3.6569598149983966E-4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0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0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7.2702850322087925E-2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7.1507868657852372E-2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7.0507868657852371E-2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6.8507868657852383E-2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1.172246074295979E-2</v>
      </c>
      <c r="AB91" s="2">
        <f>SUMIFS(PERSALDATA!$G$2:$G$20871,PERSALDATA!$A$2:$A$20871,WORKING!A91,PERSALDATA!$D$2:$D$20871,WORKING!B91,PERSALDATA!$E$2:$E$20871,WORKING!C91,PERSALDATA!$F$2:$F$20871,"S&amp;W: BASIC SALARY (RES)")</f>
        <v>1</v>
      </c>
      <c r="AC91" s="2">
        <f>SUMIFS(PERSALDATA!$H$2:$H$20871,PERSALDATA!$A$2:$A$20871,WORKING!A91,PERSALDATA!$D$2:$D$20871,WORKING!B91,PERSALDATA!$E$2:$E$20871,WORKING!C91)</f>
        <v>191306.44999999998</v>
      </c>
    </row>
    <row r="92" spans="1:29" x14ac:dyDescent="0.25">
      <c r="A92" s="2">
        <f>Results!$D$3</f>
        <v>34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0.72110878791294009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0.18253132532755131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0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0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9.5967615776291149E-2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3.9227098321746308E-4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7.5999999999999998E-2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7.0000000000000007E-2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6.8999999999999992E-2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6.7000000000000004E-2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1.4994115935251736E-2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59448.7</v>
      </c>
    </row>
    <row r="93" spans="1:29" x14ac:dyDescent="0.25">
      <c r="A93" s="2">
        <f>Results!$D$3</f>
        <v>34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0.70391457870079399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5.8716840678899894E-2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3.8523189676078679E-2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0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7.6763120604539131E-2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9.1508232945174253E-2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3.0272067383338999E-2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3.0197001117517806E-4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0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0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7.414692127308159E-2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7.0766214912307321E-2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6.9766214912307306E-2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6.7766214912307318E-2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1.3266175795623105E-2</v>
      </c>
      <c r="AB93" s="2">
        <f>SUMIFS(PERSALDATA!$G$2:$G$20871,PERSALDATA!$A$2:$A$20871,WORKING!A93,PERSALDATA!$D$2:$D$20871,WORKING!B93,PERSALDATA!$E$2:$E$20871,WORKING!C93,PERSALDATA!$F$2:$F$20871,"S&amp;W: BASIC SALARY (RES)")</f>
        <v>8</v>
      </c>
      <c r="AC93" s="2">
        <f>SUMIFS(PERSALDATA!$H$2:$H$20871,PERSALDATA!$A$2:$A$20871,WORKING!A93,PERSALDATA!$D$2:$D$20871,WORKING!B93,PERSALDATA!$E$2:$E$20871,WORKING!C93)</f>
        <v>1853429.0799999998</v>
      </c>
    </row>
    <row r="94" spans="1:29" x14ac:dyDescent="0.25">
      <c r="A94" s="2">
        <f>Results!$D$3</f>
        <v>34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0.74067201379888326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5.0189024223007632E-2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3.1131228994421313E-2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5.1556963051638045E-2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8.9529327198064446E-2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1.7386045965848706E-2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2.5624807900888406E-4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1.9279148689127727E-2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7.4355824079146912E-2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7.0462042155830351E-2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6.9462042155830364E-2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6.7462042155830362E-2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1.3755833398123977E-2</v>
      </c>
      <c r="AB94" s="2">
        <f>SUMIFS(PERSALDATA!$G$2:$G$20871,PERSALDATA!$A$2:$A$20871,WORKING!A94,PERSALDATA!$D$2:$D$20871,WORKING!B94,PERSALDATA!$E$2:$E$20871,WORKING!C94,PERSALDATA!$F$2:$F$20871,"S&amp;W: BASIC SALARY (RES)")</f>
        <v>16</v>
      </c>
      <c r="AC94" s="2">
        <f>SUMIFS(PERSALDATA!$H$2:$H$20871,PERSALDATA!$A$2:$A$20871,WORKING!A94,PERSALDATA!$D$2:$D$20871,WORKING!B94,PERSALDATA!$E$2:$E$20871,WORKING!C94)</f>
        <v>4413574.55</v>
      </c>
    </row>
    <row r="95" spans="1:29" x14ac:dyDescent="0.25">
      <c r="A95" s="2">
        <f>Results!$D$3</f>
        <v>34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0.74581399700685025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5.6913108713045328E-2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3.1159143181579411E-2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0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3.6885818150909834E-2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9.2593690170347853E-2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2.3966788895704198E-2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2.0329823206047617E-4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1.2464155649502772E-2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7.4148306572312722E-2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7.0241695840447857E-2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6.9241695840447884E-2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6.7241695840447882E-2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1.3976276106531757E-2</v>
      </c>
      <c r="AB95" s="2">
        <f>SUMIFS(PERSALDATA!$G$2:$G$20871,PERSALDATA!$A$2:$A$20871,WORKING!A95,PERSALDATA!$D$2:$D$20871,WORKING!B95,PERSALDATA!$E$2:$E$20871,WORKING!C95,PERSALDATA!$F$2:$F$20871,"S&amp;W: BASIC SALARY (RES)")</f>
        <v>60</v>
      </c>
      <c r="AC95" s="2">
        <f>SUMIFS(PERSALDATA!$H$2:$H$20871,PERSALDATA!$A$2:$A$20871,WORKING!A95,PERSALDATA!$D$2:$D$20871,WORKING!B95,PERSALDATA!$E$2:$E$20871,WORKING!C95)</f>
        <v>21248979.669999998</v>
      </c>
    </row>
    <row r="96" spans="1:29" x14ac:dyDescent="0.25">
      <c r="A96" s="2">
        <f>Results!$D$3</f>
        <v>34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0.74292656620406017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9.1305505011356047E-3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7.3734864846053527E-3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0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6.6259283933199787E-3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3.1421885777638492E-2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5.8571875988106268E-3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1.5651832105500994E-4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0.19650787671937464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7.5532378024676466E-2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7.0025654061053738E-2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6.9025654061053737E-2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6.7025654061053735E-2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1.4787661002015291E-2</v>
      </c>
      <c r="AB96" s="2">
        <f>SUMIFS(PERSALDATA!$G$2:$G$20871,PERSALDATA!$A$2:$A$20871,WORKING!A96,PERSALDATA!$D$2:$D$20871,WORKING!B96,PERSALDATA!$E$2:$E$20871,WORKING!C96,PERSALDATA!$F$2:$F$20871,"S&amp;W: BASIC SALARY (RES)")</f>
        <v>3</v>
      </c>
      <c r="AC96" s="2">
        <f>SUMIFS(PERSALDATA!$H$2:$H$20871,PERSALDATA!$A$2:$A$20871,WORKING!A96,PERSALDATA!$D$2:$D$20871,WORKING!B96,PERSALDATA!$E$2:$E$20871,WORKING!C96)</f>
        <v>2644610.5300000003</v>
      </c>
    </row>
    <row r="97" spans="1:29" x14ac:dyDescent="0.25">
      <c r="A97" s="2">
        <f>Results!$D$3</f>
        <v>34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0.75496663968544242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5.4235859241599342E-2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1.8007817161024786E-2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2.9425566001702888E-2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8.8234697124787181E-2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2.5815573846337023E-2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1.3155890897150726E-4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0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2.9182288030134659E-2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0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7.5043363819785935E-2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7.026130531841529E-2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6.9261305318415303E-2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6.7261305318415301E-2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1.4286525868924508E-2</v>
      </c>
      <c r="AB97" s="2">
        <f>SUMIFS(PERSALDATA!$G$2:$G$20871,PERSALDATA!$A$2:$A$20871,WORKING!A97,PERSALDATA!$D$2:$D$20871,WORKING!B97,PERSALDATA!$E$2:$E$20871,WORKING!C97,PERSALDATA!$F$2:$F$20871,"S&amp;W: BASIC SALARY (RES)")</f>
        <v>50</v>
      </c>
      <c r="AC97" s="2">
        <f>SUMIFS(PERSALDATA!$H$2:$H$20871,PERSALDATA!$A$2:$A$20871,WORKING!A97,PERSALDATA!$D$2:$D$20871,WORKING!B97,PERSALDATA!$E$2:$E$20871,WORKING!C97)</f>
        <v>25922075.720000003</v>
      </c>
    </row>
    <row r="98" spans="1:29" x14ac:dyDescent="0.25">
      <c r="A98" s="2">
        <f>Results!$D$3</f>
        <v>34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0.70769835927354618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3.9737998097948188E-2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2.071421381415675E-3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2.1052207978956509E-2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7.6402518685610765E-2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2.115885548471098E-2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1.1461106214755958E-4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0.131764028035664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1.46514263936622E-2</v>
      </c>
      <c r="AB98" s="2">
        <f>SUMIFS(PERSALDATA!$G$2:$G$20871,PERSALDATA!$A$2:$A$20871,WORKING!A98,PERSALDATA!$D$2:$D$20871,WORKING!B98,PERSALDATA!$E$2:$E$20871,WORKING!C98,PERSALDATA!$F$2:$F$20871,"S&amp;W: BASIC SALARY (RES)")</f>
        <v>3</v>
      </c>
      <c r="AC98" s="2">
        <f>SUMIFS(PERSALDATA!$H$2:$H$20871,PERSALDATA!$A$2:$A$20871,WORKING!A98,PERSALDATA!$D$2:$D$20871,WORKING!B98,PERSALDATA!$E$2:$E$20871,WORKING!C98)</f>
        <v>2899458.3400000003</v>
      </c>
    </row>
    <row r="99" spans="1:29" x14ac:dyDescent="0.25">
      <c r="A99" s="2">
        <f>Results!$D$3</f>
        <v>34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0.69970079457557521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4.9207571949151499E-2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3.0493143894322133E-4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0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1.9718720346893641E-2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8.7873312784976315E-2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2.4046852019632459E-2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9.0280333642180842E-5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0.11235867953209559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4.3725290923441705E-3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1.0315950160405627E-3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1.2947329107050954E-3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1.4698291018207812E-2</v>
      </c>
      <c r="AB99" s="2">
        <f>SUMIFS(PERSALDATA!$G$2:$G$20871,PERSALDATA!$A$2:$A$20871,WORKING!A99,PERSALDATA!$D$2:$D$20871,WORKING!B99,PERSALDATA!$E$2:$E$20871,WORKING!C99,PERSALDATA!$F$2:$F$20871,"S&amp;W: BASIC SALARY (RES)")</f>
        <v>45</v>
      </c>
      <c r="AC99" s="2">
        <f>SUMIFS(PERSALDATA!$H$2:$H$20871,PERSALDATA!$A$2:$A$20871,WORKING!A99,PERSALDATA!$D$2:$D$20871,WORKING!B99,PERSALDATA!$E$2:$E$20871,WORKING!C99)</f>
        <v>33450142.219999999</v>
      </c>
    </row>
    <row r="100" spans="1:29" x14ac:dyDescent="0.25">
      <c r="A100" s="2">
        <f>Results!$D$3</f>
        <v>34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0.62867524651121809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3.592560497389867E-2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5.7431561500264584E-3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1.5173418548369903E-2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7.348617690514668E-2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1.4039771691356376E-2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7.5614872467594181E-5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0.22120519844650494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3.453874762679028E-3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2.2219371383322196E-3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1.4685117156437041E-2</v>
      </c>
      <c r="AB100" s="2">
        <f>SUMIFS(PERSALDATA!$G$2:$G$20871,PERSALDATA!$A$2:$A$20871,WORKING!A100,PERSALDATA!$D$2:$D$20871,WORKING!B100,PERSALDATA!$E$2:$E$20871,WORKING!C100,PERSALDATA!$F$2:$F$20871,"S&amp;W: BASIC SALARY (RES)")</f>
        <v>22</v>
      </c>
      <c r="AC100" s="2">
        <f>SUMIFS(PERSALDATA!$H$2:$H$20871,PERSALDATA!$A$2:$A$20871,WORKING!A100,PERSALDATA!$D$2:$D$20871,WORKING!B100,PERSALDATA!$E$2:$E$20871,WORKING!C100)</f>
        <v>20894434.5</v>
      </c>
    </row>
    <row r="101" spans="1:29" x14ac:dyDescent="0.25">
      <c r="A101" s="2">
        <f>Results!$D$3</f>
        <v>34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0.61623485133936307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3.7484381700618574E-2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3.3132345839970096E-3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1.0292308691975597E-2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8.0110381870659678E-2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0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6.2643710180867879E-5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0.24683100665590119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5.6711914473038735E-3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1.4794977195207695E-2</v>
      </c>
      <c r="AB101" s="2">
        <f>SUMIFS(PERSALDATA!$G$2:$G$20871,PERSALDATA!$A$2:$A$20871,WORKING!A101,PERSALDATA!$D$2:$D$20871,WORKING!B101,PERSALDATA!$E$2:$E$20871,WORKING!C101,PERSALDATA!$F$2:$F$20871,"S&amp;W: BASIC SALARY (RES)")</f>
        <v>9</v>
      </c>
      <c r="AC101" s="2">
        <f>SUMIFS(PERSALDATA!$H$2:$H$20871,PERSALDATA!$A$2:$A$20871,WORKING!A101,PERSALDATA!$D$2:$D$20871,WORKING!B101,PERSALDATA!$E$2:$E$20871,WORKING!C101)</f>
        <v>9585798.7700000014</v>
      </c>
    </row>
    <row r="102" spans="1:29" x14ac:dyDescent="0.25">
      <c r="A102" s="2">
        <f>Results!$D$3</f>
        <v>34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0.71879909636558836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0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4.3092260617711058E-3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5.7835755895654928E-2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0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5.4555456981814432E-5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0.2190013662200038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1.4934543277218706E-2</v>
      </c>
      <c r="AB102" s="2">
        <f>SUMIFS(PERSALDATA!$G$2:$G$20871,PERSALDATA!$A$2:$A$20871,WORKING!A102,PERSALDATA!$D$2:$D$20871,WORKING!B102,PERSALDATA!$E$2:$E$20871,WORKING!C102,PERSALDATA!$F$2:$F$20871,"S&amp;W: BASIC SALARY (RES)")</f>
        <v>1</v>
      </c>
      <c r="AC102" s="2">
        <f>SUMIFS(PERSALDATA!$H$2:$H$20871,PERSALDATA!$A$2:$A$20871,WORKING!A102,PERSALDATA!$D$2:$D$20871,WORKING!B102,PERSALDATA!$E$2:$E$20871,WORKING!C102)</f>
        <v>1709819.79</v>
      </c>
    </row>
    <row r="103" spans="1:29" x14ac:dyDescent="0.25">
      <c r="A103" s="2">
        <f>Results!$D$3</f>
        <v>34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34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34</v>
      </c>
      <c r="B105" s="2">
        <v>7</v>
      </c>
      <c r="C105" s="2">
        <v>1</v>
      </c>
      <c r="D105" s="62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>1</v>
      </c>
      <c r="E105" s="62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>0</v>
      </c>
      <c r="F105" s="62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>0</v>
      </c>
      <c r="G105" s="69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>0</v>
      </c>
      <c r="H105" s="62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>0</v>
      </c>
      <c r="I105" s="62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>0</v>
      </c>
      <c r="J105" s="62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>0</v>
      </c>
      <c r="K105" s="62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>0</v>
      </c>
      <c r="L105" s="62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>0</v>
      </c>
      <c r="M105" s="62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>0</v>
      </c>
      <c r="N105" s="62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>0</v>
      </c>
      <c r="O105" s="62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>0</v>
      </c>
      <c r="P105" s="62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>0</v>
      </c>
      <c r="Q105" s="62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>0</v>
      </c>
      <c r="R105" s="62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>0</v>
      </c>
      <c r="S105" s="62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>0</v>
      </c>
      <c r="T105" s="62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>0</v>
      </c>
      <c r="U105" s="62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>0</v>
      </c>
      <c r="V105" s="62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>0</v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7.5999999999999998E-2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7.0000000000000007E-2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6.9000000000000006E-2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6.7000000000000004E-2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1.4999999999999999E-2</v>
      </c>
      <c r="AB105" s="2">
        <f>SUMIFS(PERSALDATA!$G$2:$G$20871,PERSALDATA!$A$2:$A$20871,WORKING!A105,PERSALDATA!$D$2:$D$20871,WORKING!B105,PERSALDATA!$E$2:$E$20871,WORKING!C105,PERSALDATA!$F$2:$F$20871,"S&amp;W: BASIC SALARY (RES)")</f>
        <v>9</v>
      </c>
      <c r="AC105" s="2">
        <f>SUMIFS(PERSALDATA!$H$2:$H$20871,PERSALDATA!$A$2:$A$20871,WORKING!A105,PERSALDATA!$D$2:$D$20871,WORKING!B105,PERSALDATA!$E$2:$E$20871,WORKING!C105)</f>
        <v>554761.64</v>
      </c>
    </row>
    <row r="106" spans="1:29" x14ac:dyDescent="0.25">
      <c r="A106" s="2">
        <f>Results!$D$3</f>
        <v>34</v>
      </c>
      <c r="B106" s="2">
        <v>7</v>
      </c>
      <c r="C106" s="2">
        <v>2</v>
      </c>
      <c r="D106" s="62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>1</v>
      </c>
      <c r="E106" s="62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>0</v>
      </c>
      <c r="F106" s="62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>0</v>
      </c>
      <c r="G106" s="69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>0</v>
      </c>
      <c r="H106" s="62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>0</v>
      </c>
      <c r="I106" s="62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>0</v>
      </c>
      <c r="J106" s="62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>0</v>
      </c>
      <c r="K106" s="62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>0</v>
      </c>
      <c r="L106" s="62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>0</v>
      </c>
      <c r="M106" s="62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>0</v>
      </c>
      <c r="N106" s="62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>0</v>
      </c>
      <c r="O106" s="62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>0</v>
      </c>
      <c r="P106" s="62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>0</v>
      </c>
      <c r="Q106" s="62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>0</v>
      </c>
      <c r="R106" s="62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>0</v>
      </c>
      <c r="S106" s="62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>0</v>
      </c>
      <c r="T106" s="62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>0</v>
      </c>
      <c r="U106" s="62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>0</v>
      </c>
      <c r="V106" s="62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>0</v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7.5999999999999998E-2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7.0000000000000007E-2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6.9000000000000006E-2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6.7000000000000004E-2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1.4999999999999999E-2</v>
      </c>
      <c r="AB106" s="2">
        <f>SUMIFS(PERSALDATA!$G$2:$G$20871,PERSALDATA!$A$2:$A$20871,WORKING!A106,PERSALDATA!$D$2:$D$20871,WORKING!B106,PERSALDATA!$E$2:$E$20871,WORKING!C106,PERSALDATA!$F$2:$F$20871,"S&amp;W: BASIC SALARY (RES)")</f>
        <v>7</v>
      </c>
      <c r="AC106" s="2">
        <f>SUMIFS(PERSALDATA!$H$2:$H$20871,PERSALDATA!$A$2:$A$20871,WORKING!A106,PERSALDATA!$D$2:$D$20871,WORKING!B106,PERSALDATA!$E$2:$E$20871,WORKING!C106)</f>
        <v>701019.10000000009</v>
      </c>
    </row>
    <row r="107" spans="1:29" x14ac:dyDescent="0.25">
      <c r="A107" s="2">
        <f>Results!$D$3</f>
        <v>34</v>
      </c>
      <c r="B107" s="2">
        <v>7</v>
      </c>
      <c r="C107" s="2">
        <v>3</v>
      </c>
      <c r="D107" s="62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>1</v>
      </c>
      <c r="E107" s="62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>0</v>
      </c>
      <c r="F107" s="62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>0</v>
      </c>
      <c r="G107" s="69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>0</v>
      </c>
      <c r="H107" s="62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>0</v>
      </c>
      <c r="I107" s="62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>0</v>
      </c>
      <c r="J107" s="62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>0</v>
      </c>
      <c r="K107" s="62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>0</v>
      </c>
      <c r="L107" s="62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>0</v>
      </c>
      <c r="M107" s="62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>0</v>
      </c>
      <c r="N107" s="62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>0</v>
      </c>
      <c r="O107" s="62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>0</v>
      </c>
      <c r="P107" s="62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>0</v>
      </c>
      <c r="Q107" s="62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>0</v>
      </c>
      <c r="R107" s="62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>0</v>
      </c>
      <c r="S107" s="62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>0</v>
      </c>
      <c r="T107" s="62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>0</v>
      </c>
      <c r="U107" s="62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>0</v>
      </c>
      <c r="V107" s="62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>0</v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7.5999999999999998E-2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7.0000000000000007E-2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6.9000000000000006E-2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6.7000000000000004E-2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1.4999999999999999E-2</v>
      </c>
      <c r="AB107" s="2">
        <f>SUMIFS(PERSALDATA!$G$2:$G$20871,PERSALDATA!$A$2:$A$20871,WORKING!A107,PERSALDATA!$D$2:$D$20871,WORKING!B107,PERSALDATA!$E$2:$E$20871,WORKING!C107,PERSALDATA!$F$2:$F$20871,"S&amp;W: BASIC SALARY (RES)")</f>
        <v>1</v>
      </c>
      <c r="AC107" s="2">
        <f>SUMIFS(PERSALDATA!$H$2:$H$20871,PERSALDATA!$A$2:$A$20871,WORKING!A107,PERSALDATA!$D$2:$D$20871,WORKING!B107,PERSALDATA!$E$2:$E$20871,WORKING!C107)</f>
        <v>88000</v>
      </c>
    </row>
    <row r="108" spans="1:29" x14ac:dyDescent="0.25">
      <c r="A108" s="2">
        <f>Results!$D$3</f>
        <v>34</v>
      </c>
      <c r="B108" s="2">
        <v>7</v>
      </c>
      <c r="C108" s="2">
        <v>4</v>
      </c>
      <c r="D108" s="62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>0</v>
      </c>
      <c r="E108" s="62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>0</v>
      </c>
      <c r="F108" s="62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>1</v>
      </c>
      <c r="G108" s="69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>0</v>
      </c>
      <c r="H108" s="62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>0</v>
      </c>
      <c r="I108" s="62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>0</v>
      </c>
      <c r="J108" s="62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>0</v>
      </c>
      <c r="K108" s="62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>0</v>
      </c>
      <c r="L108" s="62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>0</v>
      </c>
      <c r="M108" s="62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>0</v>
      </c>
      <c r="N108" s="62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>0</v>
      </c>
      <c r="O108" s="62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>0</v>
      </c>
      <c r="P108" s="62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>0</v>
      </c>
      <c r="Q108" s="62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>0</v>
      </c>
      <c r="R108" s="62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>0</v>
      </c>
      <c r="S108" s="62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>0</v>
      </c>
      <c r="T108" s="62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>0</v>
      </c>
      <c r="U108" s="62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>0</v>
      </c>
      <c r="V108" s="62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>0</v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0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0.06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5.8999999999999997E-2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5.7000000000000002E-2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900</v>
      </c>
    </row>
    <row r="109" spans="1:29" x14ac:dyDescent="0.25">
      <c r="A109" s="2">
        <f>Results!$D$3</f>
        <v>34</v>
      </c>
      <c r="B109" s="2">
        <v>7</v>
      </c>
      <c r="C109" s="2">
        <v>5</v>
      </c>
      <c r="D109" s="62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>0.71883225959138508</v>
      </c>
      <c r="E109" s="62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>4.8170091295275948E-2</v>
      </c>
      <c r="F109" s="62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>5.1590812499134713E-2</v>
      </c>
      <c r="G109" s="69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>0</v>
      </c>
      <c r="H109" s="62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>7.504830597975394E-2</v>
      </c>
      <c r="I109" s="62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>9.3447374715521322E-2</v>
      </c>
      <c r="J109" s="62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>1.2536774235905237E-2</v>
      </c>
      <c r="K109" s="62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>3.7438168302378404E-4</v>
      </c>
      <c r="L109" s="62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>0</v>
      </c>
      <c r="M109" s="62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>0</v>
      </c>
      <c r="N109" s="62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>0</v>
      </c>
      <c r="O109" s="62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>0</v>
      </c>
      <c r="P109" s="62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>0</v>
      </c>
      <c r="Q109" s="62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>0</v>
      </c>
      <c r="R109" s="62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>0</v>
      </c>
      <c r="S109" s="62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>0</v>
      </c>
      <c r="T109" s="62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>0</v>
      </c>
      <c r="U109" s="62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>0</v>
      </c>
      <c r="V109" s="62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>0</v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7.3129774533782319E-2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7.0609816464704975E-2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6.9609816464704974E-2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6.7609816464704972E-2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1.3094797497571312E-2</v>
      </c>
      <c r="AB109" s="2">
        <f>SUMIFS(PERSALDATA!$G$2:$G$20871,PERSALDATA!$A$2:$A$20871,WORKING!A109,PERSALDATA!$D$2:$D$20871,WORKING!B109,PERSALDATA!$E$2:$E$20871,WORKING!C109,PERSALDATA!$F$2:$F$20871,"S&amp;W: BASIC SALARY (RES)")</f>
        <v>5</v>
      </c>
      <c r="AC109" s="2">
        <f>SUMIFS(PERSALDATA!$H$2:$H$20871,PERSALDATA!$A$2:$A$20871,WORKING!A109,PERSALDATA!$D$2:$D$20871,WORKING!B109,PERSALDATA!$E$2:$E$20871,WORKING!C109)</f>
        <v>918768.24</v>
      </c>
    </row>
    <row r="110" spans="1:29" x14ac:dyDescent="0.25">
      <c r="A110" s="2">
        <f>Results!$D$3</f>
        <v>34</v>
      </c>
      <c r="B110" s="2">
        <v>7</v>
      </c>
      <c r="C110" s="2">
        <v>6</v>
      </c>
      <c r="D110" s="62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>0.68802296070009994</v>
      </c>
      <c r="E110" s="62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>5.7548058004988377E-2</v>
      </c>
      <c r="F110" s="62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>5.5249082302511639E-2</v>
      </c>
      <c r="G110" s="69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>0</v>
      </c>
      <c r="H110" s="62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>7.3080212050070398E-2</v>
      </c>
      <c r="I110" s="62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>8.9442452862813049E-2</v>
      </c>
      <c r="J110" s="62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>3.6370921057451065E-2</v>
      </c>
      <c r="K110" s="62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>2.8631302206546031E-4</v>
      </c>
      <c r="L110" s="62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>0</v>
      </c>
      <c r="M110" s="62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>0</v>
      </c>
      <c r="N110" s="62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>0</v>
      </c>
      <c r="O110" s="62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>0</v>
      </c>
      <c r="P110" s="62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>0</v>
      </c>
      <c r="Q110" s="62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>0</v>
      </c>
      <c r="R110" s="62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>0</v>
      </c>
      <c r="S110" s="62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>0</v>
      </c>
      <c r="T110" s="62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>0</v>
      </c>
      <c r="U110" s="62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>0</v>
      </c>
      <c r="V110" s="62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>0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7.2824192713710087E-2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7.0543712357725941E-2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6.954371235772594E-2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6.7543712357725938E-2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1.3070765889380286E-2</v>
      </c>
      <c r="AB110" s="2">
        <f>SUMIFS(PERSALDATA!$G$2:$G$20871,PERSALDATA!$A$2:$A$20871,WORKING!A110,PERSALDATA!$D$2:$D$20871,WORKING!B110,PERSALDATA!$E$2:$E$20871,WORKING!C110,PERSALDATA!$F$2:$F$20871,"S&amp;W: BASIC SALARY (RES)")</f>
        <v>1</v>
      </c>
      <c r="AC110" s="2">
        <f>SUMIFS(PERSALDATA!$H$2:$H$20871,PERSALDATA!$A$2:$A$20871,WORKING!A110,PERSALDATA!$D$2:$D$20871,WORKING!B110,PERSALDATA!$E$2:$E$20871,WORKING!C110)</f>
        <v>244347.95</v>
      </c>
    </row>
    <row r="111" spans="1:29" x14ac:dyDescent="0.25">
      <c r="A111" s="2">
        <f>Results!$D$3</f>
        <v>34</v>
      </c>
      <c r="B111" s="2">
        <v>7</v>
      </c>
      <c r="C111" s="2">
        <v>7</v>
      </c>
      <c r="D111" s="62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>0.74055579501402347</v>
      </c>
      <c r="E111" s="62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>5.3970799205192557E-2</v>
      </c>
      <c r="F111" s="62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>4.3322321287699937E-2</v>
      </c>
      <c r="G111" s="69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>0</v>
      </c>
      <c r="H111" s="62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>3.3142372151290594E-2</v>
      </c>
      <c r="I111" s="62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>9.6271573785998932E-2</v>
      </c>
      <c r="J111" s="62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>3.248333133870146E-2</v>
      </c>
      <c r="K111" s="62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>2.5380721709311068E-4</v>
      </c>
      <c r="L111" s="62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>0</v>
      </c>
      <c r="M111" s="62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>0</v>
      </c>
      <c r="N111" s="62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>0</v>
      </c>
      <c r="O111" s="62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>0</v>
      </c>
      <c r="P111" s="62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>0</v>
      </c>
      <c r="Q111" s="62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>0</v>
      </c>
      <c r="R111" s="62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>0</v>
      </c>
      <c r="S111" s="62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>0</v>
      </c>
      <c r="T111" s="62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>0</v>
      </c>
      <c r="U111" s="62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>0</v>
      </c>
      <c r="V111" s="62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>0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7.3171496792252891E-2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7.006391236939237E-2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6.9063912369392369E-2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6.7063912369392381E-2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1.3849222490158745E-2</v>
      </c>
      <c r="AB111" s="2">
        <f>SUMIFS(PERSALDATA!$G$2:$G$20871,PERSALDATA!$A$2:$A$20871,WORKING!A111,PERSALDATA!$D$2:$D$20871,WORKING!B111,PERSALDATA!$E$2:$E$20871,WORKING!C111,PERSALDATA!$F$2:$F$20871,"S&amp;W: BASIC SALARY (RES)")</f>
        <v>3</v>
      </c>
      <c r="AC111" s="2">
        <f>SUMIFS(PERSALDATA!$H$2:$H$20871,PERSALDATA!$A$2:$A$20871,WORKING!A111,PERSALDATA!$D$2:$D$20871,WORKING!B111,PERSALDATA!$E$2:$E$20871,WORKING!C111)</f>
        <v>941777.78999999992</v>
      </c>
    </row>
    <row r="112" spans="1:29" x14ac:dyDescent="0.25">
      <c r="A112" s="2">
        <f>Results!$D$3</f>
        <v>34</v>
      </c>
      <c r="B112" s="2">
        <v>7</v>
      </c>
      <c r="C112" s="2">
        <v>8</v>
      </c>
      <c r="D112" s="62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>0.73506713752052499</v>
      </c>
      <c r="E112" s="62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>6.0096780338120805E-2</v>
      </c>
      <c r="F112" s="62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>3.3935410631933206E-2</v>
      </c>
      <c r="G112" s="69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>0</v>
      </c>
      <c r="H112" s="62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>4.2895698688708295E-2</v>
      </c>
      <c r="I112" s="62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>9.4243914405329129E-2</v>
      </c>
      <c r="J112" s="62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>2.9688845675459152E-2</v>
      </c>
      <c r="K112" s="62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>2.0548295898180352E-4</v>
      </c>
      <c r="L112" s="62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>0</v>
      </c>
      <c r="M112" s="62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>3.2304318767145401E-3</v>
      </c>
      <c r="N112" s="62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>0</v>
      </c>
      <c r="O112" s="62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>0</v>
      </c>
      <c r="P112" s="62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>6.362979042280572E-4</v>
      </c>
      <c r="Q112" s="62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>0</v>
      </c>
      <c r="R112" s="62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>0</v>
      </c>
      <c r="S112" s="62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>0</v>
      </c>
      <c r="T112" s="62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>0</v>
      </c>
      <c r="U112" s="62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>0</v>
      </c>
      <c r="V112" s="62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>0</v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7.4021448573614992E-2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7.0304081374011299E-2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6.9304081374011298E-2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6.7304081374011296E-2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1.3844451115805649E-2</v>
      </c>
      <c r="AB112" s="2">
        <f>SUMIFS(PERSALDATA!$G$2:$G$20871,PERSALDATA!$A$2:$A$20871,WORKING!A112,PERSALDATA!$D$2:$D$20871,WORKING!B112,PERSALDATA!$E$2:$E$20871,WORKING!C112,PERSALDATA!$F$2:$F$20871,"S&amp;W: BASIC SALARY (RES)")</f>
        <v>43</v>
      </c>
      <c r="AC112" s="2">
        <f>SUMIFS(PERSALDATA!$H$2:$H$20871,PERSALDATA!$A$2:$A$20871,WORKING!A112,PERSALDATA!$D$2:$D$20871,WORKING!B112,PERSALDATA!$E$2:$E$20871,WORKING!C112)</f>
        <v>13958870.43</v>
      </c>
    </row>
    <row r="113" spans="1:29" x14ac:dyDescent="0.25">
      <c r="A113" s="2">
        <f>Results!$D$3</f>
        <v>34</v>
      </c>
      <c r="B113" s="2">
        <v>7</v>
      </c>
      <c r="C113" s="2">
        <v>9</v>
      </c>
      <c r="D113" s="62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>0.76123822544737574</v>
      </c>
      <c r="E113" s="62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>5.8834808085050594E-2</v>
      </c>
      <c r="F113" s="62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>3.2044252656858604E-2</v>
      </c>
      <c r="G113" s="69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>0</v>
      </c>
      <c r="H113" s="62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>3.5353091779516246E-2</v>
      </c>
      <c r="I113" s="62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>9.2305546053627868E-2</v>
      </c>
      <c r="J113" s="62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>0</v>
      </c>
      <c r="K113" s="62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>1.8192014298601598E-4</v>
      </c>
      <c r="L113" s="62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>0</v>
      </c>
      <c r="M113" s="62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>2.0042155834585126E-2</v>
      </c>
      <c r="N113" s="62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>0</v>
      </c>
      <c r="O113" s="62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>0</v>
      </c>
      <c r="P113" s="62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>0</v>
      </c>
      <c r="Q113" s="62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>0</v>
      </c>
      <c r="R113" s="62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>0</v>
      </c>
      <c r="S113" s="62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>0</v>
      </c>
      <c r="T113" s="62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>0</v>
      </c>
      <c r="U113" s="62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>0</v>
      </c>
      <c r="V113" s="62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>0</v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7.4059580082991988E-2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7.0209853850124196E-2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6.9209853850124167E-2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6.7209853850124165E-2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1.3986311031309588E-2</v>
      </c>
      <c r="AB113" s="2">
        <f>SUMIFS(PERSALDATA!$G$2:$G$20871,PERSALDATA!$A$2:$A$20871,WORKING!A113,PERSALDATA!$D$2:$D$20871,WORKING!B113,PERSALDATA!$E$2:$E$20871,WORKING!C113,PERSALDATA!$F$2:$F$20871,"S&amp;W: BASIC SALARY (RES)")</f>
        <v>2</v>
      </c>
      <c r="AC113" s="2">
        <f>SUMIFS(PERSALDATA!$H$2:$H$20871,PERSALDATA!$A$2:$A$20871,WORKING!A113,PERSALDATA!$D$2:$D$20871,WORKING!B113,PERSALDATA!$E$2:$E$20871,WORKING!C113)</f>
        <v>833222.73999999987</v>
      </c>
    </row>
    <row r="114" spans="1:29" x14ac:dyDescent="0.25">
      <c r="A114" s="2">
        <f>Results!$D$3</f>
        <v>34</v>
      </c>
      <c r="B114" s="2">
        <v>7</v>
      </c>
      <c r="C114" s="2">
        <v>10</v>
      </c>
      <c r="D114" s="62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>0.76005616144738841</v>
      </c>
      <c r="E114" s="62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>6.1689319490627094E-2</v>
      </c>
      <c r="F114" s="62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>2.0572105696189537E-2</v>
      </c>
      <c r="G114" s="69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>0</v>
      </c>
      <c r="H114" s="62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>3.0831263117373511E-2</v>
      </c>
      <c r="I114" s="62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>9.8806944862570842E-2</v>
      </c>
      <c r="J114" s="62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>2.6794391044090118E-2</v>
      </c>
      <c r="K114" s="62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>1.3630681086495064E-4</v>
      </c>
      <c r="L114" s="62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>0</v>
      </c>
      <c r="M114" s="62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>0</v>
      </c>
      <c r="N114" s="62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>0</v>
      </c>
      <c r="O114" s="62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>0</v>
      </c>
      <c r="P114" s="62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>1.1135075308956704E-3</v>
      </c>
      <c r="Q114" s="62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>0</v>
      </c>
      <c r="R114" s="62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>0</v>
      </c>
      <c r="S114" s="62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>0</v>
      </c>
      <c r="T114" s="62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>0</v>
      </c>
      <c r="U114" s="62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>0</v>
      </c>
      <c r="V114" s="62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>0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7.4868157650732833E-2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7.0256747889798729E-2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6.9256747889798714E-2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6.7256747889798726E-2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1.4226904865633582E-2</v>
      </c>
      <c r="AB114" s="2">
        <f>SUMIFS(PERSALDATA!$G$2:$G$20871,PERSALDATA!$A$2:$A$20871,WORKING!A114,PERSALDATA!$D$2:$D$20871,WORKING!B114,PERSALDATA!$E$2:$E$20871,WORKING!C114,PERSALDATA!$F$2:$F$20871,"S&amp;W: BASIC SALARY (RES)")</f>
        <v>31</v>
      </c>
      <c r="AC114" s="2">
        <f>SUMIFS(PERSALDATA!$H$2:$H$20871,PERSALDATA!$A$2:$A$20871,WORKING!A114,PERSALDATA!$D$2:$D$20871,WORKING!B114,PERSALDATA!$E$2:$E$20871,WORKING!C114)</f>
        <v>15953641.539999999</v>
      </c>
    </row>
    <row r="115" spans="1:29" x14ac:dyDescent="0.25">
      <c r="A115" s="2">
        <f>Results!$D$3</f>
        <v>34</v>
      </c>
      <c r="B115" s="2">
        <v>7</v>
      </c>
      <c r="C115" s="2">
        <v>11</v>
      </c>
      <c r="D115" s="62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>0.68720639958442487</v>
      </c>
      <c r="E115" s="62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>6.5972431437909165E-2</v>
      </c>
      <c r="F115" s="62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>0</v>
      </c>
      <c r="G115" s="69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>0</v>
      </c>
      <c r="H115" s="62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>2.7685997543782943E-2</v>
      </c>
      <c r="I115" s="62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>8.9336576950030763E-2</v>
      </c>
      <c r="J115" s="62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>1.4590185851044929E-2</v>
      </c>
      <c r="K115" s="62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>1.0991388861243066E-4</v>
      </c>
      <c r="L115" s="62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>0</v>
      </c>
      <c r="M115" s="62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>9.5351174902255753E-2</v>
      </c>
      <c r="N115" s="62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>1.974731984193932E-2</v>
      </c>
      <c r="O115" s="62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>0</v>
      </c>
      <c r="P115" s="62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>0</v>
      </c>
      <c r="Q115" s="62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>0</v>
      </c>
      <c r="R115" s="62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>0</v>
      </c>
      <c r="S115" s="62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>0</v>
      </c>
      <c r="T115" s="62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>0</v>
      </c>
      <c r="U115" s="62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>0</v>
      </c>
      <c r="V115" s="62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>0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1.4583061328514071E-2</v>
      </c>
      <c r="AB115" s="2">
        <f>SUMIFS(PERSALDATA!$G$2:$G$20871,PERSALDATA!$A$2:$A$20871,WORKING!A115,PERSALDATA!$D$2:$D$20871,WORKING!B115,PERSALDATA!$E$2:$E$20871,WORKING!C115,PERSALDATA!$F$2:$F$20871,"S&amp;W: BASIC SALARY (RES)")</f>
        <v>5</v>
      </c>
      <c r="AC115" s="2">
        <f>SUMIFS(PERSALDATA!$H$2:$H$20871,PERSALDATA!$A$2:$A$20871,WORKING!A115,PERSALDATA!$D$2:$D$20871,WORKING!B115,PERSALDATA!$E$2:$E$20871,WORKING!C115)</f>
        <v>3553782.01</v>
      </c>
    </row>
    <row r="116" spans="1:29" x14ac:dyDescent="0.25">
      <c r="A116" s="2">
        <f>Results!$D$3</f>
        <v>34</v>
      </c>
      <c r="B116" s="2">
        <v>7</v>
      </c>
      <c r="C116" s="2">
        <v>12</v>
      </c>
      <c r="D116" s="62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>0.70906171577433641</v>
      </c>
      <c r="E116" s="62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>4.5213293546486663E-2</v>
      </c>
      <c r="F116" s="62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>0</v>
      </c>
      <c r="G116" s="69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>0</v>
      </c>
      <c r="H116" s="62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>1.9360254641773361E-2</v>
      </c>
      <c r="I116" s="62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>9.2186344516164753E-2</v>
      </c>
      <c r="J116" s="62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>2.5327180252936423E-2</v>
      </c>
      <c r="K116" s="62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>9.3193035880131792E-5</v>
      </c>
      <c r="L116" s="62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>0</v>
      </c>
      <c r="M116" s="62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>0.10672027142691187</v>
      </c>
      <c r="N116" s="62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>2.0377468055104682E-3</v>
      </c>
      <c r="O116" s="62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>0</v>
      </c>
      <c r="P116" s="62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>0</v>
      </c>
      <c r="Q116" s="62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>0</v>
      </c>
      <c r="R116" s="62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>0</v>
      </c>
      <c r="S116" s="62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>0</v>
      </c>
      <c r="T116" s="62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>0</v>
      </c>
      <c r="U116" s="62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>0</v>
      </c>
      <c r="V116" s="62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>0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1.4708198284835198E-2</v>
      </c>
      <c r="AB116" s="2">
        <f>SUMIFS(PERSALDATA!$G$2:$G$20871,PERSALDATA!$A$2:$A$20871,WORKING!A116,PERSALDATA!$D$2:$D$20871,WORKING!B116,PERSALDATA!$E$2:$E$20871,WORKING!C116,PERSALDATA!$F$2:$F$20871,"S&amp;W: BASIC SALARY (RES)")</f>
        <v>37</v>
      </c>
      <c r="AC116" s="2">
        <f>SUMIFS(PERSALDATA!$H$2:$H$20871,PERSALDATA!$A$2:$A$20871,WORKING!A116,PERSALDATA!$D$2:$D$20871,WORKING!B116,PERSALDATA!$E$2:$E$20871,WORKING!C116)</f>
        <v>28464036.769999996</v>
      </c>
    </row>
    <row r="117" spans="1:29" x14ac:dyDescent="0.25">
      <c r="A117" s="2">
        <f>Results!$D$3</f>
        <v>34</v>
      </c>
      <c r="B117" s="2">
        <v>7</v>
      </c>
      <c r="C117" s="2">
        <v>13</v>
      </c>
      <c r="D117" s="62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>0.64290870170316439</v>
      </c>
      <c r="E117" s="62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>4.0356077336646735E-2</v>
      </c>
      <c r="F117" s="62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>9.2422274928512791E-4</v>
      </c>
      <c r="G117" s="69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>0</v>
      </c>
      <c r="H117" s="62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>1.5854884857059569E-2</v>
      </c>
      <c r="I117" s="62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>7.8529669479270828E-2</v>
      </c>
      <c r="J117" s="62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>9.0164919160511132E-3</v>
      </c>
      <c r="K117" s="62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>7.4716631646207839E-5</v>
      </c>
      <c r="L117" s="62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>0</v>
      </c>
      <c r="M117" s="62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>0.20655322045701363</v>
      </c>
      <c r="N117" s="62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>4.7910584984751127E-3</v>
      </c>
      <c r="O117" s="62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>0</v>
      </c>
      <c r="P117" s="62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>9.9095637138735672E-4</v>
      </c>
      <c r="Q117" s="62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>0</v>
      </c>
      <c r="R117" s="62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>0</v>
      </c>
      <c r="S117" s="62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>0</v>
      </c>
      <c r="T117" s="62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>0</v>
      </c>
      <c r="U117" s="62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>0</v>
      </c>
      <c r="V117" s="62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>0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1.4747192636430135E-2</v>
      </c>
      <c r="AB117" s="2">
        <f>SUMIFS(PERSALDATA!$G$2:$G$20871,PERSALDATA!$A$2:$A$20871,WORKING!A117,PERSALDATA!$D$2:$D$20871,WORKING!B117,PERSALDATA!$E$2:$E$20871,WORKING!C117,PERSALDATA!$F$2:$F$20871,"S&amp;W: BASIC SALARY (RES)")</f>
        <v>30</v>
      </c>
      <c r="AC117" s="2">
        <f>SUMIFS(PERSALDATA!$H$2:$H$20871,PERSALDATA!$A$2:$A$20871,WORKING!A117,PERSALDATA!$D$2:$D$20871,WORKING!B117,PERSALDATA!$E$2:$E$20871,WORKING!C117)</f>
        <v>26373512.25</v>
      </c>
    </row>
    <row r="118" spans="1:29" x14ac:dyDescent="0.25">
      <c r="A118" s="2">
        <f>Results!$D$3</f>
        <v>34</v>
      </c>
      <c r="B118" s="2">
        <v>7</v>
      </c>
      <c r="C118" s="2">
        <v>14</v>
      </c>
      <c r="D118" s="62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>0.57423944750154066</v>
      </c>
      <c r="E118" s="62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>4.2661839314191645E-2</v>
      </c>
      <c r="F118" s="62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>0</v>
      </c>
      <c r="G118" s="69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>0</v>
      </c>
      <c r="H118" s="62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>1.2496020758455406E-2</v>
      </c>
      <c r="I118" s="62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>7.465098498212093E-2</v>
      </c>
      <c r="J118" s="62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>2.4604302041532262E-2</v>
      </c>
      <c r="K118" s="62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>5.7649952111232964E-5</v>
      </c>
      <c r="L118" s="62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>0</v>
      </c>
      <c r="M118" s="62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>0.25962700431541536</v>
      </c>
      <c r="N118" s="62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>2.092558625913734E-3</v>
      </c>
      <c r="O118" s="62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>7.881160727969504E-3</v>
      </c>
      <c r="P118" s="62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>1.6890317807493444E-3</v>
      </c>
      <c r="Q118" s="62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>0</v>
      </c>
      <c r="R118" s="62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>0</v>
      </c>
      <c r="S118" s="62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>0</v>
      </c>
      <c r="T118" s="62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>0</v>
      </c>
      <c r="U118" s="62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>0</v>
      </c>
      <c r="V118" s="62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>0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1.4811694939341501E-2</v>
      </c>
      <c r="AB118" s="2">
        <f>SUMIFS(PERSALDATA!$G$2:$G$20871,PERSALDATA!$A$2:$A$20871,WORKING!A118,PERSALDATA!$D$2:$D$20871,WORKING!B118,PERSALDATA!$E$2:$E$20871,WORKING!C118,PERSALDATA!$F$2:$F$20871,"S&amp;W: BASIC SALARY (RES)")</f>
        <v>3</v>
      </c>
      <c r="AC118" s="2">
        <f>SUMIFS(PERSALDATA!$H$2:$H$20871,PERSALDATA!$A$2:$A$20871,WORKING!A118,PERSALDATA!$D$2:$D$20871,WORKING!B118,PERSALDATA!$E$2:$E$20871,WORKING!C118)</f>
        <v>5258634.0299999993</v>
      </c>
    </row>
    <row r="119" spans="1:29" x14ac:dyDescent="0.25">
      <c r="A119" s="2">
        <f>Results!$D$3</f>
        <v>34</v>
      </c>
      <c r="B119" s="2">
        <v>7</v>
      </c>
      <c r="C119" s="2">
        <v>15</v>
      </c>
      <c r="D119" s="62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>0.54876463910958684</v>
      </c>
      <c r="E119" s="62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>3.288615134138269E-3</v>
      </c>
      <c r="F119" s="62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>0</v>
      </c>
      <c r="G119" s="69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>0</v>
      </c>
      <c r="H119" s="62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>6.5074650183083596E-3</v>
      </c>
      <c r="I119" s="62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>7.1339290569226124E-2</v>
      </c>
      <c r="J119" s="62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>0</v>
      </c>
      <c r="K119" s="62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>4.500007059649549E-5</v>
      </c>
      <c r="L119" s="62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>0</v>
      </c>
      <c r="M119" s="62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>0.2818451142813575</v>
      </c>
      <c r="N119" s="62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>0</v>
      </c>
      <c r="O119" s="62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>0</v>
      </c>
      <c r="P119" s="62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>0</v>
      </c>
      <c r="Q119" s="62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>0</v>
      </c>
      <c r="R119" s="62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>8.8209875816786285E-2</v>
      </c>
      <c r="S119" s="62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>0</v>
      </c>
      <c r="T119" s="62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>0</v>
      </c>
      <c r="U119" s="62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>0</v>
      </c>
      <c r="V119" s="62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>0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1.4901713023666425E-2</v>
      </c>
      <c r="AB119" s="2">
        <f>SUMIFS(PERSALDATA!$G$2:$G$20871,PERSALDATA!$A$2:$A$20871,WORKING!A119,PERSALDATA!$D$2:$D$20871,WORKING!B119,PERSALDATA!$E$2:$E$20871,WORKING!C119,PERSALDATA!$F$2:$F$20871,"S&amp;W: BASIC SALARY (RES)")</f>
        <v>2</v>
      </c>
      <c r="AC119" s="2">
        <f>SUMIFS(PERSALDATA!$H$2:$H$20871,PERSALDATA!$A$2:$A$20871,WORKING!A119,PERSALDATA!$D$2:$D$20871,WORKING!B119,PERSALDATA!$E$2:$E$20871,WORKING!C119)</f>
        <v>1684219.5800000003</v>
      </c>
    </row>
    <row r="120" spans="1:29" x14ac:dyDescent="0.25">
      <c r="A120" s="2">
        <f>Results!$D$3</f>
        <v>34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34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34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34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34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34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34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34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34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34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34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34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34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34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34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34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34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34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34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34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34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34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34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34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34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34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34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34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34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34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34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34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34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34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34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34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34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34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34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34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34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34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34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34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34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34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34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34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34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34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34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34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34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34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34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34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34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34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34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34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34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34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34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34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34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34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34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34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34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34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34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34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34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34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34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34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34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34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34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34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34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34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34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34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34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34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34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34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34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34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34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34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34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34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34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34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34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34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34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34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34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34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34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34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34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34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34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34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34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34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34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34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34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34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34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34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34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34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34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34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34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34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34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34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34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34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34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34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34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34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34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34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34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34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34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34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34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34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34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34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34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34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34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34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34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34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34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34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34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34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34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34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34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34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34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34</v>
      </c>
      <c r="E3" s="74" t="str">
        <f>INDEX(MAPs!$I$7:$J$54,MATCH(Results!$D$3,MAPs!$I$7:$I$54,0),2)</f>
        <v>Trade And Industry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3</v>
      </c>
      <c r="H9" s="158">
        <v>3</v>
      </c>
      <c r="I9" s="158">
        <v>3</v>
      </c>
      <c r="J9" s="158">
        <v>3</v>
      </c>
      <c r="L9" s="150" t="s">
        <v>613</v>
      </c>
      <c r="M9" s="143">
        <f>IFERROR(INDEX('Employee Profile (2)'!$AC$4:$AC$50,MATCH(Results!$D$3,'Employee Profile (2)'!$B$4:$B$50,0))*$N9,"")</f>
        <v>570.88809368900456</v>
      </c>
      <c r="N9" s="148">
        <f>IFERROR(SUMIFS('Employee Profile (2)'!C$4:C$50,'Employee Profile (2)'!$B$4:$B$50,Results!$D$3),"")</f>
        <v>0.40923877683799609</v>
      </c>
      <c r="O9" s="150" t="s">
        <v>620</v>
      </c>
      <c r="P9" s="143">
        <f>IFERROR(INDEX('Employee Profile (2)'!$AC$4:$AC$50,MATCH(Results!$D$3,'Employee Profile (2)'!$B$4:$B$50,0))*$Q9,"")</f>
        <v>992.02016916070261</v>
      </c>
      <c r="Q9" s="148">
        <f>IFERROR(SUMIFS('Employee Profile (2)'!J$4:J$50,'Employee Profile (2)'!$B$4:$B$50,Results!$D$3),"")</f>
        <v>0.71112556929082626</v>
      </c>
      <c r="R9" s="150" t="s">
        <v>627</v>
      </c>
      <c r="S9" s="144">
        <f>IFERROR(INDEX('Employee Profile (2)'!$AC$4:$AC$50,MATCH(Results!$D$3,'Employee Profile (2)'!$B$4:$B$50,0))*$T9,"")</f>
        <v>13.614183474300587</v>
      </c>
      <c r="T9" s="147">
        <f>IFERROR(SUMIFS('Employee Profile (2)'!N$4:N$50,'Employee Profile (2)'!$B$4:$B$50,Results!$D$3),"")</f>
        <v>9.7592713077423558E-3</v>
      </c>
      <c r="U9" s="150" t="s">
        <v>632</v>
      </c>
      <c r="V9" s="144">
        <f>IFERROR(INDEX('Employee Profile (2)'!$AC$4:$AC$50,MATCH(Results!$D$3,'Employee Profile (2)'!$B$4:$B$50,0))*$W9,"")</f>
        <v>732.44307091737141</v>
      </c>
      <c r="W9" s="147">
        <f>IFERROR(SUMIFS('Employee Profile (2)'!S$4:S$50,'Employee Profile (2)'!$B$4:$B$50,Results!$D$3),"")</f>
        <v>0.52504879635653867</v>
      </c>
      <c r="X9" s="150" t="s">
        <v>635</v>
      </c>
      <c r="Y9" s="144">
        <f>IFERROR(INDEX('Employee Profile (2)'!$AC$4:$AC$50,MATCH(Results!$D$3,'Employee Profile (2)'!$B$4:$B$50,0))*$Z9,"")</f>
        <v>1036.4931685100846</v>
      </c>
      <c r="Z9" s="147">
        <f>IFERROR(SUMIFS('Employee Profile (2)'!V$4:V$50,'Employee Profile (2)'!$B$4:$B$50,Results!$D$3),"")</f>
        <v>0.74300585556278465</v>
      </c>
      <c r="AA9" s="150" t="s">
        <v>675</v>
      </c>
      <c r="AB9" s="144">
        <f>IFERROR(SUMIFS('Employee Profile (2)'!$AD$4:$AD$50,'Employee Profile (2)'!$B$4:$B$50,Results!$D$3),"")</f>
        <v>519</v>
      </c>
      <c r="AC9" s="147">
        <f>IFERROR(SUMIFS('Employee Profile (2)'!$AE$4:$AE$50,'Employee Profile (2)'!$B$4:$B$50,Results!$D$3),"")</f>
        <v>0.3720430107526882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12</v>
      </c>
      <c r="H10" s="158">
        <v>12</v>
      </c>
      <c r="I10" s="158">
        <v>12</v>
      </c>
      <c r="J10" s="158">
        <v>12</v>
      </c>
      <c r="L10" s="150" t="s">
        <v>614</v>
      </c>
      <c r="M10" s="143">
        <f>IFERROR(INDEX('Employee Profile (2)'!$AC$4:$AC$50,MATCH(Results!$D$3,'Employee Profile (2)'!$B$4:$B$50,0))*$N10,"")</f>
        <v>549.1054001301236</v>
      </c>
      <c r="N10" s="148">
        <f>IFERROR(SUMIFS('Employee Profile (2)'!D$4:D$50,'Employee Profile (2)'!$B$4:$B$50,Results!$D$3),"")</f>
        <v>0.3936239427456083</v>
      </c>
      <c r="O10" s="150" t="s">
        <v>621</v>
      </c>
      <c r="P10" s="143">
        <f>IFERROR(INDEX('Employee Profile (2)'!$AC$4:$AC$50,MATCH(Results!$D$3,'Employee Profile (2)'!$B$4:$B$50,0))*$Q10,"")</f>
        <v>284.08262849707222</v>
      </c>
      <c r="Q10" s="148">
        <f>IFERROR(SUMIFS('Employee Profile (2)'!K$4:K$50,'Employee Profile (2)'!$B$4:$B$50,Results!$D$3),"")</f>
        <v>0.2036434612882238</v>
      </c>
      <c r="R10" s="150" t="s">
        <v>628</v>
      </c>
      <c r="S10" s="144">
        <f>IFERROR(INDEX('Employee Profile (2)'!$AC$4:$AC$50,MATCH(Results!$D$3,'Employee Profile (2)'!$B$4:$B$50,0))*$T10,"")</f>
        <v>368.49056603773585</v>
      </c>
      <c r="T10" s="147">
        <f>IFERROR(SUMIFS('Employee Profile (2)'!O$4:O$50,'Employee Profile (2)'!$B$4:$B$50,Results!$D$3),"")</f>
        <v>0.26415094339622641</v>
      </c>
      <c r="U10" s="150" t="s">
        <v>633</v>
      </c>
      <c r="V10" s="144">
        <f>IFERROR(INDEX('Employee Profile (2)'!$AC$4:$AC$50,MATCH(Results!$D$3,'Employee Profile (2)'!$B$4:$B$50,0))*$W10,"")</f>
        <v>548.19778789850352</v>
      </c>
      <c r="W10" s="147">
        <f>IFERROR(SUMIFS('Employee Profile (2)'!T$4:T$50,'Employee Profile (2)'!$B$4:$B$50,Results!$D$3),"")</f>
        <v>0.39297332465842549</v>
      </c>
      <c r="X10" s="150" t="s">
        <v>636</v>
      </c>
      <c r="Y10" s="144">
        <f>IFERROR(INDEX('Employee Profile (2)'!$AC$4:$AC$50,MATCH(Results!$D$3,'Employee Profile (2)'!$B$4:$B$50,0))*$Z10,"")</f>
        <v>72.608978529603121</v>
      </c>
      <c r="Z10" s="147">
        <f>IFERROR(SUMIFS('Employee Profile (2)'!W$4:W$50,'Employee Profile (2)'!$B$4:$B$50,Results!$D$3),"")</f>
        <v>5.2049446974625893E-2</v>
      </c>
      <c r="AA10" s="150" t="s">
        <v>676</v>
      </c>
      <c r="AB10" s="144">
        <f>IFERROR(INDEX('Employee Profile (2)'!$AC$4:$AC$50,MATCH(Results!$D$3,'Employee Profile (2)'!$B$4:$B$50))-$AB$9,"")</f>
        <v>876</v>
      </c>
      <c r="AC10" s="147">
        <f>IFERROR(100%-$AC$9,"")</f>
        <v>0.6279569892473118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83</v>
      </c>
      <c r="H11" s="158">
        <v>76</v>
      </c>
      <c r="I11" s="158">
        <v>69</v>
      </c>
      <c r="J11" s="158">
        <v>63</v>
      </c>
      <c r="L11" s="150" t="s">
        <v>658</v>
      </c>
      <c r="M11" s="143">
        <f>IFERROR(INDEX('Employee Profile (2)'!$AC$4:$AC$50,MATCH(Results!$D$3,'Employee Profile (2)'!$B$4:$B$50,0))*$N11,"")</f>
        <v>78.054651919323362</v>
      </c>
      <c r="N11" s="148">
        <f>IFERROR(SUMIFS('Employee Profile (2)'!E$4:E$50,'Employee Profile (2)'!$B$4:$B$50,Results!$D$3),"")</f>
        <v>5.595315549772284E-2</v>
      </c>
      <c r="O11" s="150" t="s">
        <v>622</v>
      </c>
      <c r="P11" s="143">
        <f>IFERROR(INDEX('Employee Profile (2)'!$AC$4:$AC$50,MATCH(Results!$D$3,'Employee Profile (2)'!$B$4:$B$50,0))*$Q11,"")</f>
        <v>83.500325309043589</v>
      </c>
      <c r="Q11" s="148">
        <f>IFERROR(SUMIFS('Employee Profile (2)'!L$4:L$50,'Employee Profile (2)'!$B$4:$B$50,Results!$D$3),"")</f>
        <v>5.9856864020819779E-2</v>
      </c>
      <c r="R11" s="150" t="s">
        <v>629</v>
      </c>
      <c r="S11" s="144">
        <f>IFERROR(INDEX('Employee Profile (2)'!$AC$4:$AC$50,MATCH(Results!$D$3,'Employee Profile (2)'!$B$4:$B$50,0))*$T11,"")</f>
        <v>601.74690956408585</v>
      </c>
      <c r="T11" s="147">
        <f>IFERROR(SUMIFS('Employee Profile (2)'!P$4:P$50,'Employee Profile (2)'!$B$4:$B$50,Results!$D$3),"")</f>
        <v>0.43135979180221207</v>
      </c>
      <c r="U11" s="150" t="s">
        <v>53</v>
      </c>
      <c r="V11" s="144">
        <f>IFERROR(INDEX('Employee Profile (2)'!$AC$4:$AC$50,MATCH(Results!$D$3,'Employee Profile (2)'!$B$4:$B$50,0))*$W11,"")</f>
        <v>114.35914118412491</v>
      </c>
      <c r="W11" s="147">
        <f>IFERROR(SUMIFS('Employee Profile (2)'!U$4:U$50,'Employee Profile (2)'!$B$4:$B$50,Results!$D$3),"")</f>
        <v>8.1977878985035779E-2</v>
      </c>
      <c r="X11" s="150" t="s">
        <v>637</v>
      </c>
      <c r="Y11" s="144">
        <f>IFERROR(INDEX('Employee Profile (2)'!$AC$4:$AC$50,MATCH(Results!$D$3,'Employee Profile (2)'!$B$4:$B$50,0))*$Z11,"")</f>
        <v>67.163305139882894</v>
      </c>
      <c r="Z11" s="147">
        <f>IFERROR(SUMIFS('Employee Profile (2)'!X$4:X$50,'Employee Profile (2)'!$B$4:$B$50,Results!$D$3),"")</f>
        <v>4.8145738451528954E-2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7</v>
      </c>
      <c r="H12" s="158">
        <v>7</v>
      </c>
      <c r="I12" s="158">
        <v>7</v>
      </c>
      <c r="J12" s="158">
        <v>7</v>
      </c>
      <c r="L12" s="150" t="s">
        <v>659</v>
      </c>
      <c r="M12" s="143">
        <f>IFERROR(INDEX('Employee Profile (2)'!$AC$4:$AC$50,MATCH(Results!$D$3,'Employee Profile (2)'!$B$4:$B$50,0))*$N12,"")</f>
        <v>58.087182823682504</v>
      </c>
      <c r="N12" s="148">
        <f>IFERROR(SUMIFS('Employee Profile (2)'!F$4:F$50,'Employee Profile (2)'!$B$4:$B$50,Results!$D$3),"")</f>
        <v>4.1639557579700719E-2</v>
      </c>
      <c r="O12" s="150" t="s">
        <v>623</v>
      </c>
      <c r="P12" s="143">
        <f>IFERROR(INDEX('Employee Profile (2)'!$AC$4:$AC$50,MATCH(Results!$D$3,'Employee Profile (2)'!$B$4:$B$50,0))*$Q12,"")</f>
        <v>35.396877033181525</v>
      </c>
      <c r="Q12" s="148">
        <f>IFERROR(SUMIFS('Employee Profile (2)'!M$4:M$50,'Employee Profile (2)'!$B$4:$B$50,Results!$D$3),"")</f>
        <v>2.5374105400130124E-2</v>
      </c>
      <c r="R12" s="150" t="s">
        <v>630</v>
      </c>
      <c r="S12" s="144">
        <f>IFERROR(INDEX('Employee Profile (2)'!$AC$4:$AC$50,MATCH(Results!$D$3,'Employee Profile (2)'!$B$4:$B$50,0))*$T12,"")</f>
        <v>38.119713728041646</v>
      </c>
      <c r="T12" s="147">
        <f>IFERROR(SUMIFS('Employee Profile (2)'!Q$4:Q$50,'Employee Profile (2)'!$B$4:$B$50,Results!$D$3),"")</f>
        <v>2.7325959661678598E-2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104.37540663630449</v>
      </c>
      <c r="Z12" s="147">
        <f>IFERROR(SUMIFS('Employee Profile (2)'!Y$4:Y$50,'Employee Profile (2)'!$B$4:$B$50,Results!$D$3),"")</f>
        <v>7.4821080026024722E-2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4</v>
      </c>
      <c r="H13" s="158">
        <v>4</v>
      </c>
      <c r="I13" s="158">
        <v>4</v>
      </c>
      <c r="J13" s="158">
        <v>4</v>
      </c>
      <c r="L13" s="150" t="s">
        <v>660</v>
      </c>
      <c r="M13" s="143">
        <f>IFERROR(INDEX('Employee Profile (2)'!$AC$4:$AC$50,MATCH(Results!$D$3,'Employee Profile (2)'!$B$4:$B$50,0))*$N13,"")</f>
        <v>23.597918022121014</v>
      </c>
      <c r="N13" s="148">
        <f>IFERROR(SUMIFS('Employee Profile (2)'!G$4:G$50,'Employee Profile (2)'!$B$4:$B$50,Results!$D$3),"")</f>
        <v>1.6916070266753416E-2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373.02862719583601</v>
      </c>
      <c r="T13" s="147">
        <f>IFERROR(SUMIFS('Employee Profile (2)'!R$4:R$50,'Employee Profile (2)'!$B$4:$B$50,Results!$D$3),"")</f>
        <v>0.26740403383214051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114.35914118412491</v>
      </c>
      <c r="Z13" s="147">
        <f>IFERROR(SUMIFS('Employee Profile (2)'!Z$4:Z$50,'Employee Profile (2)'!$B$4:$B$50,Results!$D$3),"")</f>
        <v>8.1977878985035779E-2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3</v>
      </c>
      <c r="H14" s="158">
        <v>3</v>
      </c>
      <c r="I14" s="158">
        <v>3</v>
      </c>
      <c r="J14" s="158">
        <v>3</v>
      </c>
      <c r="L14" s="150" t="s">
        <v>615</v>
      </c>
      <c r="M14" s="143">
        <f>IFERROR(INDEX('Employee Profile (2)'!$AC$4:$AC$50,MATCH(Results!$D$3,'Employee Profile (2)'!$B$4:$B$50,0))*$N14,"")</f>
        <v>3.6304489264801565</v>
      </c>
      <c r="N14" s="148">
        <f>IFERROR(SUMIFS('Employee Profile (2)'!H$4:H$50,'Employee Profile (2)'!$B$4:$B$50,Results!$D$3),"")</f>
        <v>2.6024723487312949E-3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112</v>
      </c>
      <c r="H15" s="112">
        <f t="shared" ref="H15:J15" si="0">SUM(H9:H14)</f>
        <v>105</v>
      </c>
      <c r="I15" s="112">
        <f t="shared" si="0"/>
        <v>98</v>
      </c>
      <c r="J15" s="112">
        <f t="shared" si="0"/>
        <v>92</v>
      </c>
      <c r="L15" s="150" t="s">
        <v>53</v>
      </c>
      <c r="M15" s="143">
        <f>IFERROR(INDEX('Employee Profile (2)'!$AC$4:$AC$50,MATCH(Results!$D$3,'Employee Profile (2)'!$B$4:$B$50,0))*$N15,"")</f>
        <v>111.6363044892648</v>
      </c>
      <c r="N15" s="148">
        <f>IFERROR(SUMIFS('Employee Profile (2)'!I$4:I$50,'Employee Profile (2)'!$B$4:$B$50,Results!$D$3),"")</f>
        <v>8.0026024723487313E-2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112</v>
      </c>
      <c r="H16" s="82">
        <f>SUMIFS($W$64:$W$509,$C$64:$C$509,"Total")</f>
        <v>105</v>
      </c>
      <c r="I16" s="82">
        <f>SUMIFS($AE$64:$AE$509,$C$64:$C$509,"Total")</f>
        <v>98</v>
      </c>
      <c r="J16" s="82">
        <f>SUMIFS($AM$64:$AM$509,$C$64:$C$509,"Total")</f>
        <v>92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517</v>
      </c>
      <c r="G29" s="87">
        <f t="shared" ref="G29:G44" si="4">SUMIFS($K$64:$K$509,$A$64:$A$509,B29,$C$64:$C$509,"Total")</f>
        <v>512.04170029013551</v>
      </c>
      <c r="H29" s="83">
        <f t="shared" ref="H29:H44" si="5">SUMIFS($J$64:$J$509,$A$64:$A$509,B29,$C$64:$C$509,"Total")</f>
        <v>264725.55905000004</v>
      </c>
      <c r="I29" s="21">
        <f t="shared" ref="I29:I44" si="6">-SUMIFS($O$64:$O$509,$A$64:$A$509,$B29,$C$64:$C$509,"Total")+SUMIFS($N$64:$N$509,$A$64:$A$509,$B29,$C$64:$C$509,"Total")</f>
        <v>-27</v>
      </c>
      <c r="J29" s="88">
        <f t="shared" ref="J29:J44" si="7">SUMIFS($P$64:$P$509,$A$64:$A$509,$B29,$C$64:$C$509,"Total")</f>
        <v>490</v>
      </c>
      <c r="K29" s="88">
        <f t="shared" ref="K29:K44" si="8">SUMIFS($M$64:$M$509,$A$64:$A$509,$B29,$C$64:$C$509,"Total")</f>
        <v>549.49580273557149</v>
      </c>
      <c r="L29" s="88">
        <f t="shared" ref="L29:L44" si="9">SUMIFS($R$64:$R$509,$A$64:$A$509,$B29,$C$64:$C$509,"Total")+SUMIFS($Q$64:$Q$509,$A$64:$A$509,$B29,$C$64:$C$509,"Total")</f>
        <v>-14026.363305469236</v>
      </c>
      <c r="M29" s="88">
        <f t="shared" ref="M29:M44" si="10">SUMIFS($S$64:$S$509,$A$64:$A$509,$B29,$C$64:$C$509,"Total")</f>
        <v>269252.94334043004</v>
      </c>
      <c r="N29" s="88">
        <f t="shared" ref="N29:N44" si="11">SUMIFS($S$64:$S$509,$A$64:$A$509,$B29,$C$64:$C$509,"Compensation Budget")</f>
        <v>310050</v>
      </c>
      <c r="O29" s="89">
        <f t="shared" ref="O29:O44" si="12">SUMIFS($S$64:$S$509,$A$64:$A$509,$B29,$C$64:$C$509,"Under/(Over)")</f>
        <v>40797.056659569964</v>
      </c>
      <c r="P29" s="21">
        <f t="shared" ref="P29:P44" si="13">-SUMIFS($W$64:$W$509,$A$64:$A$509,$B29,$C$64:$C$509,"Total")+SUMIFS($V$64:$V$509,$A$64:$A$509,$B29,$C$64:$C$509,"Total")</f>
        <v>-25</v>
      </c>
      <c r="Q29" s="88">
        <f t="shared" ref="Q29:Q44" si="14">SUMIFS($X$64:$X$509,$A$64:$A$509,$B29,$C$64:$C$509,"Total")</f>
        <v>465</v>
      </c>
      <c r="R29" s="88">
        <f t="shared" ref="R29:R44" si="15">SUMIFS($U$64:$U$509,$A$64:$A$509,$B29,$C$64:$C$509,"Total")</f>
        <v>592.35914724018937</v>
      </c>
      <c r="S29" s="88">
        <f t="shared" ref="S29:S44" si="16">SUMIFS($Z$64:$Z$509,$A$64:$A$509,$B29,$C$64:$C$509,"Total")+SUMIFS($Y$64:$Y$509,$A$64:$A$509,$B29,$C$64:$C$509,"Total")</f>
        <v>-15996.189126690921</v>
      </c>
      <c r="T29" s="88">
        <f t="shared" ref="T29:T44" si="17">SUMIFS($AA$64:$AA$509,$A$64:$A$509,$B29,$C$64:$C$509,"Total")</f>
        <v>275447.00346668804</v>
      </c>
      <c r="U29" s="88">
        <f t="shared" ref="U29:U44" si="18">SUMIFS($AA$64:$AA$509,$A$64:$A$509,$B29,$C$64:$C$509,"Compensation Budget")</f>
        <v>302468</v>
      </c>
      <c r="V29" s="89">
        <f t="shared" ref="V29:V44" si="19">SUMIFS($AA$64:$AA$509,$A$64:$A$509,$B29,$C$64:$C$509,"Under/(Over)")</f>
        <v>27020.996533311962</v>
      </c>
      <c r="W29" s="21">
        <f t="shared" ref="W29:W44" si="20">-SUMIFS($AE$64:$AE$509,$A$64:$A$509,$B29,$C$64:$C$509,"Total")+SUMIFS($AD$64:$AD$509,$A$64:$A$509,$B29,$C$64:$C$509,"Total")</f>
        <v>-29</v>
      </c>
      <c r="X29" s="88">
        <f t="shared" ref="X29:X44" si="21">SUMIFS($AF$64:$AF$509,$A$64:$A$509,$B29,$C$64:$C$509,"Total")</f>
        <v>436</v>
      </c>
      <c r="Y29" s="88">
        <f t="shared" ref="Y29:Y44" si="22">SUMIFS($AC$64:$AC$509,$A$64:$A$509,$B29,$C$64:$C$509,"Total")</f>
        <v>640.52925353262731</v>
      </c>
      <c r="Z29" s="88">
        <f t="shared" ref="Z29:Z44" si="23">SUMIFS($AH$64:$AH$509,$A$64:$A$509,$B29,$C$64:$C$509,"Total")+SUMIFS($AG$64:$AG$509,$A$64:$A$509,$B29,$C$64:$C$509,"Total")</f>
        <v>-18613.189105769728</v>
      </c>
      <c r="AA29" s="88">
        <f t="shared" ref="AA29:AA44" si="24">SUMIFS($AI$64:$AI$509,$A$64:$A$509,$B29,$C$64:$C$509,"Total")</f>
        <v>279270.75454022549</v>
      </c>
      <c r="AB29" s="88">
        <f t="shared" ref="AB29:AB44" si="25">SUMIFS($AI$64:$AI$509,$A$64:$A$509,$B29,$C$64:$C$509,"Compensation Budget")</f>
        <v>320011</v>
      </c>
      <c r="AC29" s="89">
        <f t="shared" ref="AC29:AC44" si="26">SUMIFS($AI$64:$AI$509,$A$64:$A$509,$B29,$C$64:$C$509,"Under/(Over)")</f>
        <v>40740.245459774509</v>
      </c>
      <c r="AD29" s="21">
        <f t="shared" ref="AD29:AD44" si="27">-SUMIFS($AM$64:$AM$509,$A$64:$A$509,$B29,$C$64:$C$509,"Total")+SUMIFS($AL$64:$AL$509,$A$64:$A$509,$B29,$C$64:$C$509,"Total")</f>
        <v>-22</v>
      </c>
      <c r="AE29" s="88">
        <f t="shared" ref="AE29:AE44" si="28">SUMIFS($AN$64:$AN$509,$A$64:$A$509,$B29,$C$64:$C$509,"Total")</f>
        <v>414</v>
      </c>
      <c r="AF29" s="88">
        <f t="shared" ref="AF29:AF44" si="29">SUMIFS($AK$64:$AK$509,$A$64:$A$509,$B29,$C$64:$C$509,"Total")</f>
        <v>692.7249813936462</v>
      </c>
      <c r="AG29" s="88">
        <f t="shared" ref="AG29:AG44" si="30">SUMIFS($AP$64:$AP$509,$A$64:$A$509,$B29,$C$64:$C$509,"Total")+SUMIFS($AO$64:$AO$509,$A$64:$A$509,$B29,$C$64:$C$509,"Total")</f>
        <v>-14676.048870351515</v>
      </c>
      <c r="AH29" s="88">
        <f t="shared" ref="AH29:AH44" si="31">SUMIFS($AQ$64:$AQ$509,$A$64:$A$509,$B29,$C$64:$C$509,"Total")</f>
        <v>286788.14229696954</v>
      </c>
      <c r="AI29" s="88">
        <f t="shared" ref="AI29:AI44" si="32">SUMIFS($AQ$64:$AQ$509,$A$64:$A$509,$B29,$C$64:$C$509,"Compensation Budget")</f>
        <v>344331.83600000001</v>
      </c>
      <c r="AJ29" s="89">
        <f t="shared" ref="AJ29:AJ44" si="33">SUMIFS($AQ$64:$AQ$509,$A$64:$A$509,$B29,$C$64:$C$509,"Under/(Over)")</f>
        <v>57543.693703030469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International Trade and Economic Development</v>
      </c>
      <c r="D30" s="222">
        <f t="shared" si="2"/>
        <v>0</v>
      </c>
      <c r="E30" s="223">
        <f t="shared" si="2"/>
        <v>0</v>
      </c>
      <c r="F30" s="80">
        <f t="shared" si="3"/>
        <v>110</v>
      </c>
      <c r="G30" s="155">
        <f t="shared" si="4"/>
        <v>626.41818181818178</v>
      </c>
      <c r="H30" s="155">
        <f t="shared" si="5"/>
        <v>68906</v>
      </c>
      <c r="I30" s="23">
        <f t="shared" si="6"/>
        <v>-11</v>
      </c>
      <c r="J30" s="22">
        <f t="shared" si="7"/>
        <v>99</v>
      </c>
      <c r="K30" s="22">
        <f t="shared" si="8"/>
        <v>681.36284346606419</v>
      </c>
      <c r="L30" s="22">
        <f t="shared" si="9"/>
        <v>-6703.7405983521621</v>
      </c>
      <c r="M30" s="22">
        <f t="shared" si="10"/>
        <v>67454.921503140358</v>
      </c>
      <c r="N30" s="22">
        <f t="shared" si="11"/>
        <v>82406</v>
      </c>
      <c r="O30" s="91">
        <f t="shared" si="12"/>
        <v>14951.078496859642</v>
      </c>
      <c r="P30" s="23">
        <f t="shared" si="13"/>
        <v>-11</v>
      </c>
      <c r="Q30" s="22">
        <f t="shared" si="14"/>
        <v>88</v>
      </c>
      <c r="R30" s="22">
        <f t="shared" si="15"/>
        <v>748.94278459172415</v>
      </c>
      <c r="S30" s="22">
        <f t="shared" si="16"/>
        <v>-7087.5051590276926</v>
      </c>
      <c r="T30" s="22">
        <f t="shared" si="17"/>
        <v>65906.965044071723</v>
      </c>
      <c r="U30" s="22">
        <f t="shared" si="18"/>
        <v>77207</v>
      </c>
      <c r="V30" s="91">
        <f t="shared" si="19"/>
        <v>11300.034955928277</v>
      </c>
      <c r="W30" s="23">
        <f t="shared" si="20"/>
        <v>-10</v>
      </c>
      <c r="X30" s="22">
        <f t="shared" si="21"/>
        <v>78</v>
      </c>
      <c r="Y30" s="22">
        <f t="shared" si="22"/>
        <v>810.68098127014753</v>
      </c>
      <c r="Z30" s="22">
        <f t="shared" si="23"/>
        <v>-7997.0786386569371</v>
      </c>
      <c r="AA30" s="22">
        <f t="shared" si="24"/>
        <v>63233.116539071503</v>
      </c>
      <c r="AB30" s="22">
        <f t="shared" si="25"/>
        <v>79224</v>
      </c>
      <c r="AC30" s="91">
        <f t="shared" si="26"/>
        <v>15990.883460928497</v>
      </c>
      <c r="AD30" s="23">
        <f t="shared" si="27"/>
        <v>-9</v>
      </c>
      <c r="AE30" s="22">
        <f t="shared" si="28"/>
        <v>69</v>
      </c>
      <c r="AF30" s="22">
        <f t="shared" si="29"/>
        <v>876.89504702843476</v>
      </c>
      <c r="AG30" s="22">
        <f t="shared" si="30"/>
        <v>-7705.8903760360281</v>
      </c>
      <c r="AH30" s="22">
        <f t="shared" si="31"/>
        <v>60505.758244962002</v>
      </c>
      <c r="AI30" s="22">
        <f t="shared" si="32"/>
        <v>85245.024000000005</v>
      </c>
      <c r="AJ30" s="91">
        <f t="shared" si="33"/>
        <v>24739.265755038003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Special Economic Zones and Economic Transformation</v>
      </c>
      <c r="D31" s="222">
        <f t="shared" si="2"/>
        <v>0</v>
      </c>
      <c r="E31" s="223">
        <f t="shared" si="2"/>
        <v>0</v>
      </c>
      <c r="F31" s="80">
        <f t="shared" si="3"/>
        <v>86</v>
      </c>
      <c r="G31" s="155">
        <f t="shared" si="4"/>
        <v>637.72681674418595</v>
      </c>
      <c r="H31" s="155">
        <f t="shared" si="5"/>
        <v>54844.506239999995</v>
      </c>
      <c r="I31" s="23">
        <f t="shared" si="6"/>
        <v>-8</v>
      </c>
      <c r="J31" s="22">
        <f t="shared" si="7"/>
        <v>78</v>
      </c>
      <c r="K31" s="22">
        <f t="shared" si="8"/>
        <v>691.79170391843707</v>
      </c>
      <c r="L31" s="22">
        <f t="shared" si="9"/>
        <v>-4066.1162040112931</v>
      </c>
      <c r="M31" s="22">
        <f t="shared" si="10"/>
        <v>53959.752905638095</v>
      </c>
      <c r="N31" s="22">
        <f t="shared" si="11"/>
        <v>63573</v>
      </c>
      <c r="O31" s="91">
        <f t="shared" si="12"/>
        <v>9613.2470943619046</v>
      </c>
      <c r="P31" s="23">
        <f t="shared" si="13"/>
        <v>-10</v>
      </c>
      <c r="Q31" s="22">
        <f t="shared" si="14"/>
        <v>68</v>
      </c>
      <c r="R31" s="22">
        <f t="shared" si="15"/>
        <v>753.75225403067986</v>
      </c>
      <c r="S31" s="22">
        <f t="shared" si="16"/>
        <v>-7070.0298703355584</v>
      </c>
      <c r="T31" s="22">
        <f t="shared" si="17"/>
        <v>51255.153274086231</v>
      </c>
      <c r="U31" s="22">
        <f t="shared" si="18"/>
        <v>61642</v>
      </c>
      <c r="V31" s="91">
        <f t="shared" si="19"/>
        <v>10386.846725913769</v>
      </c>
      <c r="W31" s="23">
        <f t="shared" si="20"/>
        <v>-5</v>
      </c>
      <c r="X31" s="22">
        <f t="shared" si="21"/>
        <v>63</v>
      </c>
      <c r="Y31" s="22">
        <f t="shared" si="22"/>
        <v>825.6293954842256</v>
      </c>
      <c r="Z31" s="22">
        <f t="shared" si="23"/>
        <v>-3325.4653455553985</v>
      </c>
      <c r="AA31" s="22">
        <f t="shared" si="24"/>
        <v>52014.651915506212</v>
      </c>
      <c r="AB31" s="22">
        <f t="shared" si="25"/>
        <v>64796</v>
      </c>
      <c r="AC31" s="91">
        <f t="shared" si="26"/>
        <v>12781.348084493788</v>
      </c>
      <c r="AD31" s="23">
        <f t="shared" si="27"/>
        <v>-9</v>
      </c>
      <c r="AE31" s="22">
        <f t="shared" si="28"/>
        <v>54</v>
      </c>
      <c r="AF31" s="22">
        <f t="shared" si="29"/>
        <v>896.30239485050231</v>
      </c>
      <c r="AG31" s="22">
        <f t="shared" si="30"/>
        <v>-7647.383891832229</v>
      </c>
      <c r="AH31" s="22">
        <f t="shared" si="31"/>
        <v>48400.329321927122</v>
      </c>
      <c r="AI31" s="22">
        <f t="shared" si="32"/>
        <v>69720.495999999999</v>
      </c>
      <c r="AJ31" s="91">
        <f t="shared" si="33"/>
        <v>21320.166678072877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Industrial Development</v>
      </c>
      <c r="D32" s="222">
        <f t="shared" si="2"/>
        <v>0</v>
      </c>
      <c r="E32" s="223">
        <f t="shared" si="2"/>
        <v>0</v>
      </c>
      <c r="F32" s="80">
        <f t="shared" si="3"/>
        <v>158</v>
      </c>
      <c r="G32" s="155">
        <f t="shared" si="4"/>
        <v>630.39240506329111</v>
      </c>
      <c r="H32" s="155">
        <f t="shared" si="5"/>
        <v>99602</v>
      </c>
      <c r="I32" s="23">
        <f t="shared" si="6"/>
        <v>-19</v>
      </c>
      <c r="J32" s="22">
        <f t="shared" si="7"/>
        <v>139</v>
      </c>
      <c r="K32" s="22">
        <f t="shared" si="8"/>
        <v>675.73175071049855</v>
      </c>
      <c r="L32" s="22">
        <f t="shared" si="9"/>
        <v>-12914.129602162257</v>
      </c>
      <c r="M32" s="22">
        <f t="shared" si="10"/>
        <v>93926.713348759295</v>
      </c>
      <c r="N32" s="22">
        <f t="shared" si="11"/>
        <v>112191</v>
      </c>
      <c r="O32" s="91">
        <f t="shared" si="12"/>
        <v>18264.286651240705</v>
      </c>
      <c r="P32" s="23">
        <f t="shared" si="13"/>
        <v>-16</v>
      </c>
      <c r="Q32" s="22">
        <f t="shared" si="14"/>
        <v>123</v>
      </c>
      <c r="R32" s="22">
        <f t="shared" si="15"/>
        <v>741.43575112015822</v>
      </c>
      <c r="S32" s="22">
        <f t="shared" si="16"/>
        <v>-10359.528101493361</v>
      </c>
      <c r="T32" s="22">
        <f t="shared" si="17"/>
        <v>91196.59738777946</v>
      </c>
      <c r="U32" s="22">
        <f t="shared" si="18"/>
        <v>110220</v>
      </c>
      <c r="V32" s="91">
        <f t="shared" si="19"/>
        <v>19023.40261222054</v>
      </c>
      <c r="W32" s="23">
        <f t="shared" si="20"/>
        <v>-10</v>
      </c>
      <c r="X32" s="22">
        <f t="shared" si="21"/>
        <v>113</v>
      </c>
      <c r="Y32" s="22">
        <f t="shared" si="22"/>
        <v>805.03014093122817</v>
      </c>
      <c r="Z32" s="22">
        <f t="shared" si="23"/>
        <v>-7530.0041847188095</v>
      </c>
      <c r="AA32" s="22">
        <f t="shared" si="24"/>
        <v>90968.405925228784</v>
      </c>
      <c r="AB32" s="22">
        <f t="shared" si="25"/>
        <v>116613</v>
      </c>
      <c r="AC32" s="91">
        <f t="shared" si="26"/>
        <v>25644.594074771216</v>
      </c>
      <c r="AD32" s="23">
        <f t="shared" si="27"/>
        <v>-13</v>
      </c>
      <c r="AE32" s="22">
        <f t="shared" si="28"/>
        <v>100</v>
      </c>
      <c r="AF32" s="22">
        <f t="shared" si="29"/>
        <v>868.05618789206449</v>
      </c>
      <c r="AG32" s="22">
        <f t="shared" si="30"/>
        <v>-11251.302827192791</v>
      </c>
      <c r="AH32" s="22">
        <f t="shared" si="31"/>
        <v>86805.618789206448</v>
      </c>
      <c r="AI32" s="22">
        <f t="shared" si="32"/>
        <v>125475.588</v>
      </c>
      <c r="AJ32" s="91">
        <f t="shared" si="33"/>
        <v>38669.969210793555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Consumer and Corporate Regulation</v>
      </c>
      <c r="D33" s="222">
        <f t="shared" si="2"/>
        <v>0</v>
      </c>
      <c r="E33" s="223">
        <f t="shared" si="2"/>
        <v>0</v>
      </c>
      <c r="F33" s="80">
        <f t="shared" si="3"/>
        <v>91</v>
      </c>
      <c r="G33" s="155">
        <f t="shared" si="4"/>
        <v>598.67032967032969</v>
      </c>
      <c r="H33" s="155">
        <f t="shared" si="5"/>
        <v>54479</v>
      </c>
      <c r="I33" s="23">
        <f t="shared" si="6"/>
        <v>-11</v>
      </c>
      <c r="J33" s="22">
        <f t="shared" si="7"/>
        <v>80</v>
      </c>
      <c r="K33" s="22">
        <f t="shared" si="8"/>
        <v>615.86597919257224</v>
      </c>
      <c r="L33" s="22">
        <f t="shared" si="9"/>
        <v>-7067.0332793966281</v>
      </c>
      <c r="M33" s="22">
        <f t="shared" si="10"/>
        <v>49269.278335405776</v>
      </c>
      <c r="N33" s="22">
        <f t="shared" si="11"/>
        <v>71139</v>
      </c>
      <c r="O33" s="91">
        <f t="shared" si="12"/>
        <v>21869.721664594224</v>
      </c>
      <c r="P33" s="23">
        <f t="shared" si="13"/>
        <v>-10</v>
      </c>
      <c r="Q33" s="22">
        <f t="shared" si="14"/>
        <v>70</v>
      </c>
      <c r="R33" s="22">
        <f t="shared" si="15"/>
        <v>664.01850391301525</v>
      </c>
      <c r="S33" s="22">
        <f t="shared" si="16"/>
        <v>-6771.9805195020463</v>
      </c>
      <c r="T33" s="22">
        <f t="shared" si="17"/>
        <v>46481.29527391107</v>
      </c>
      <c r="U33" s="22">
        <f t="shared" si="18"/>
        <v>72356</v>
      </c>
      <c r="V33" s="91">
        <f t="shared" si="19"/>
        <v>25874.70472608893</v>
      </c>
      <c r="W33" s="23">
        <f t="shared" si="20"/>
        <v>-6</v>
      </c>
      <c r="X33" s="22">
        <f t="shared" si="21"/>
        <v>64</v>
      </c>
      <c r="Y33" s="22">
        <f t="shared" si="22"/>
        <v>711.34603005100098</v>
      </c>
      <c r="Z33" s="22">
        <f t="shared" si="23"/>
        <v>-4654.0898724098815</v>
      </c>
      <c r="AA33" s="22">
        <f t="shared" si="24"/>
        <v>45526.145923264063</v>
      </c>
      <c r="AB33" s="22">
        <f t="shared" si="25"/>
        <v>76564</v>
      </c>
      <c r="AC33" s="91">
        <f t="shared" si="26"/>
        <v>31037.854076735937</v>
      </c>
      <c r="AD33" s="23">
        <f t="shared" si="27"/>
        <v>-7</v>
      </c>
      <c r="AE33" s="22">
        <f t="shared" si="28"/>
        <v>57</v>
      </c>
      <c r="AF33" s="22">
        <f t="shared" si="29"/>
        <v>765.19859981639968</v>
      </c>
      <c r="AG33" s="22">
        <f t="shared" si="30"/>
        <v>-5448.9104923661816</v>
      </c>
      <c r="AH33" s="22">
        <f t="shared" si="31"/>
        <v>43616.320189534781</v>
      </c>
      <c r="AI33" s="22">
        <f t="shared" si="32"/>
        <v>82382.864000000001</v>
      </c>
      <c r="AJ33" s="91">
        <f t="shared" si="33"/>
        <v>38766.54381046522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Incentive Development and Administration</v>
      </c>
      <c r="D34" s="222">
        <f t="shared" si="2"/>
        <v>0</v>
      </c>
      <c r="E34" s="223">
        <f t="shared" si="2"/>
        <v>0</v>
      </c>
      <c r="F34" s="80">
        <f t="shared" si="3"/>
        <v>225</v>
      </c>
      <c r="G34" s="155">
        <f t="shared" si="4"/>
        <v>562.06358422222229</v>
      </c>
      <c r="H34" s="155">
        <f t="shared" si="5"/>
        <v>126464.30645</v>
      </c>
      <c r="I34" s="23">
        <f t="shared" si="6"/>
        <v>-12</v>
      </c>
      <c r="J34" s="22">
        <f t="shared" si="7"/>
        <v>213</v>
      </c>
      <c r="K34" s="22">
        <f t="shared" si="8"/>
        <v>613.49396861308128</v>
      </c>
      <c r="L34" s="22">
        <f t="shared" si="9"/>
        <v>-6109.027670939915</v>
      </c>
      <c r="M34" s="22">
        <f t="shared" si="10"/>
        <v>130674.21531458631</v>
      </c>
      <c r="N34" s="22">
        <f t="shared" si="11"/>
        <v>147829</v>
      </c>
      <c r="O34" s="91">
        <f t="shared" si="12"/>
        <v>17154.784685413688</v>
      </c>
      <c r="P34" s="23">
        <f t="shared" si="13"/>
        <v>-14</v>
      </c>
      <c r="Q34" s="22">
        <f t="shared" si="14"/>
        <v>199</v>
      </c>
      <c r="R34" s="22">
        <f t="shared" si="15"/>
        <v>666.42593978453192</v>
      </c>
      <c r="S34" s="22">
        <f t="shared" si="16"/>
        <v>-8978.2396438538035</v>
      </c>
      <c r="T34" s="22">
        <f t="shared" si="17"/>
        <v>132618.76201712186</v>
      </c>
      <c r="U34" s="22">
        <f t="shared" si="18"/>
        <v>150374</v>
      </c>
      <c r="V34" s="91">
        <f t="shared" si="19"/>
        <v>17755.237982878141</v>
      </c>
      <c r="W34" s="23">
        <f t="shared" si="20"/>
        <v>-12</v>
      </c>
      <c r="X34" s="22">
        <f t="shared" si="21"/>
        <v>187</v>
      </c>
      <c r="Y34" s="22">
        <f t="shared" si="22"/>
        <v>712.42047841292481</v>
      </c>
      <c r="Z34" s="22">
        <f t="shared" si="23"/>
        <v>-10340.945315826088</v>
      </c>
      <c r="AA34" s="22">
        <f t="shared" si="24"/>
        <v>133222.62946321693</v>
      </c>
      <c r="AB34" s="22">
        <f t="shared" si="25"/>
        <v>158046</v>
      </c>
      <c r="AC34" s="91">
        <f t="shared" si="26"/>
        <v>24823.37053678307</v>
      </c>
      <c r="AD34" s="23">
        <f t="shared" si="27"/>
        <v>-14</v>
      </c>
      <c r="AE34" s="22">
        <f t="shared" si="28"/>
        <v>173</v>
      </c>
      <c r="AF34" s="22">
        <f t="shared" si="29"/>
        <v>773.56986583738217</v>
      </c>
      <c r="AG34" s="22">
        <f t="shared" si="30"/>
        <v>-10114.472074908848</v>
      </c>
      <c r="AH34" s="22">
        <f t="shared" si="31"/>
        <v>133827.58678986711</v>
      </c>
      <c r="AI34" s="22">
        <f t="shared" si="32"/>
        <v>170057.49600000001</v>
      </c>
      <c r="AJ34" s="91">
        <f t="shared" si="33"/>
        <v>36229.909210132901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Trade Export South Africa</v>
      </c>
      <c r="D35" s="222">
        <f t="shared" si="2"/>
        <v>0</v>
      </c>
      <c r="E35" s="223">
        <f t="shared" si="2"/>
        <v>0</v>
      </c>
      <c r="F35" s="80">
        <f t="shared" si="3"/>
        <v>245</v>
      </c>
      <c r="G35" s="155">
        <f t="shared" si="4"/>
        <v>818.38283257142859</v>
      </c>
      <c r="H35" s="155">
        <f t="shared" si="5"/>
        <v>200503.79398000002</v>
      </c>
      <c r="I35" s="23">
        <f t="shared" si="6"/>
        <v>-8</v>
      </c>
      <c r="J35" s="22">
        <f t="shared" si="7"/>
        <v>237</v>
      </c>
      <c r="K35" s="22">
        <f t="shared" si="8"/>
        <v>884.72981323094655</v>
      </c>
      <c r="L35" s="22">
        <f t="shared" si="9"/>
        <v>-4034.9016299808063</v>
      </c>
      <c r="M35" s="22">
        <f t="shared" si="10"/>
        <v>209680.96573573432</v>
      </c>
      <c r="N35" s="22">
        <f t="shared" si="11"/>
        <v>112103</v>
      </c>
      <c r="O35" s="91">
        <f t="shared" si="12"/>
        <v>-97577.965735734324</v>
      </c>
      <c r="P35" s="23">
        <f t="shared" si="13"/>
        <v>-17</v>
      </c>
      <c r="Q35" s="22">
        <f t="shared" si="14"/>
        <v>220</v>
      </c>
      <c r="R35" s="22">
        <f t="shared" si="15"/>
        <v>938.36189998469172</v>
      </c>
      <c r="S35" s="22">
        <f t="shared" si="16"/>
        <v>-19371.706581258339</v>
      </c>
      <c r="T35" s="22">
        <f t="shared" si="17"/>
        <v>206439.61799663218</v>
      </c>
      <c r="U35" s="22">
        <f t="shared" si="18"/>
        <v>107917</v>
      </c>
      <c r="V35" s="91">
        <f t="shared" si="19"/>
        <v>-98522.61799663218</v>
      </c>
      <c r="W35" s="23">
        <f t="shared" si="20"/>
        <v>-23</v>
      </c>
      <c r="X35" s="22">
        <f t="shared" si="21"/>
        <v>197</v>
      </c>
      <c r="Y35" s="22">
        <f t="shared" si="22"/>
        <v>1012.893449027452</v>
      </c>
      <c r="Z35" s="22">
        <f t="shared" si="23"/>
        <v>-22510.657182990552</v>
      </c>
      <c r="AA35" s="22">
        <f t="shared" si="24"/>
        <v>199540.00945840805</v>
      </c>
      <c r="AB35" s="22">
        <f t="shared" si="25"/>
        <v>91077</v>
      </c>
      <c r="AC35" s="91">
        <f t="shared" si="26"/>
        <v>-108463.00945840805</v>
      </c>
      <c r="AD35" s="23">
        <f t="shared" si="27"/>
        <v>-16</v>
      </c>
      <c r="AE35" s="22">
        <f t="shared" si="28"/>
        <v>181</v>
      </c>
      <c r="AF35" s="22">
        <f t="shared" si="29"/>
        <v>1073.4414505072839</v>
      </c>
      <c r="AG35" s="22">
        <f t="shared" si="30"/>
        <v>-19845.960667400785</v>
      </c>
      <c r="AH35" s="22">
        <f t="shared" si="31"/>
        <v>194292.90254181839</v>
      </c>
      <c r="AI35" s="22">
        <f t="shared" si="32"/>
        <v>97998.851999999999</v>
      </c>
      <c r="AJ35" s="91">
        <f t="shared" si="33"/>
        <v>-96294.050541818389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>Investment South Africa</v>
      </c>
      <c r="D36" s="222">
        <f t="shared" si="2"/>
        <v>0</v>
      </c>
      <c r="E36" s="223">
        <f t="shared" si="2"/>
        <v>0</v>
      </c>
      <c r="F36" s="80">
        <f t="shared" si="3"/>
        <v>49</v>
      </c>
      <c r="G36" s="155">
        <f t="shared" si="4"/>
        <v>94.897959183673464</v>
      </c>
      <c r="H36" s="155">
        <f t="shared" si="5"/>
        <v>4650</v>
      </c>
      <c r="I36" s="23">
        <f t="shared" si="6"/>
        <v>-2</v>
      </c>
      <c r="J36" s="22">
        <f t="shared" si="7"/>
        <v>47</v>
      </c>
      <c r="K36" s="22">
        <f t="shared" si="8"/>
        <v>102.56695312926095</v>
      </c>
      <c r="L36" s="22">
        <f t="shared" si="9"/>
        <v>-92.170209588035689</v>
      </c>
      <c r="M36" s="22">
        <f t="shared" si="10"/>
        <v>4820.6467970752647</v>
      </c>
      <c r="N36" s="22">
        <f t="shared" si="11"/>
        <v>31020</v>
      </c>
      <c r="O36" s="91">
        <f t="shared" si="12"/>
        <v>26199.353202924736</v>
      </c>
      <c r="P36" s="23">
        <f t="shared" si="13"/>
        <v>-2</v>
      </c>
      <c r="Q36" s="22">
        <f t="shared" si="14"/>
        <v>45</v>
      </c>
      <c r="R36" s="22">
        <f t="shared" si="15"/>
        <v>110.57726407125506</v>
      </c>
      <c r="S36" s="22">
        <f t="shared" si="16"/>
        <v>-160.97546909090912</v>
      </c>
      <c r="T36" s="22">
        <f t="shared" si="17"/>
        <v>4975.9768832064774</v>
      </c>
      <c r="U36" s="22">
        <f t="shared" si="18"/>
        <v>30267</v>
      </c>
      <c r="V36" s="91">
        <f t="shared" si="19"/>
        <v>25291.023116793524</v>
      </c>
      <c r="W36" s="23">
        <f t="shared" si="20"/>
        <v>-3</v>
      </c>
      <c r="X36" s="22">
        <f t="shared" si="21"/>
        <v>42</v>
      </c>
      <c r="Y36" s="22">
        <f t="shared" si="22"/>
        <v>122.08201345371918</v>
      </c>
      <c r="Z36" s="22">
        <f t="shared" si="23"/>
        <v>-169.46698829635568</v>
      </c>
      <c r="AA36" s="22">
        <f t="shared" si="24"/>
        <v>5127.4445650562056</v>
      </c>
      <c r="AB36" s="22">
        <f t="shared" si="25"/>
        <v>32030</v>
      </c>
      <c r="AC36" s="91">
        <f t="shared" si="26"/>
        <v>26902.555434943795</v>
      </c>
      <c r="AD36" s="23">
        <f t="shared" si="27"/>
        <v>-2</v>
      </c>
      <c r="AE36" s="22">
        <f t="shared" si="28"/>
        <v>40</v>
      </c>
      <c r="AF36" s="22">
        <f t="shared" si="29"/>
        <v>133.06694283104093</v>
      </c>
      <c r="AG36" s="22">
        <f t="shared" si="30"/>
        <v>-124.57347839166437</v>
      </c>
      <c r="AH36" s="22">
        <f t="shared" si="31"/>
        <v>5322.6777132416373</v>
      </c>
      <c r="AI36" s="22">
        <f t="shared" si="32"/>
        <v>34464.28</v>
      </c>
      <c r="AJ36" s="91">
        <f t="shared" si="33"/>
        <v>29141.60228675836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1481</v>
      </c>
      <c r="G45" s="92">
        <f>IFERROR(H45/F45,0)</f>
        <v>590.26007138419993</v>
      </c>
      <c r="H45" s="92">
        <f>SUM(H29:H38)</f>
        <v>874175.16572000016</v>
      </c>
      <c r="I45" s="25">
        <f>SUM(I29:I38)</f>
        <v>-98</v>
      </c>
      <c r="J45" s="92">
        <f>SUM(J29:J38)</f>
        <v>1383</v>
      </c>
      <c r="K45" s="92">
        <f>IFERROR(M45/J45,0)</f>
        <v>635.60335305912474</v>
      </c>
      <c r="L45" s="92">
        <f t="shared" ref="L45:Q45" si="34">SUM(L29:L38)</f>
        <v>-55013.482499900347</v>
      </c>
      <c r="M45" s="92">
        <f t="shared" si="34"/>
        <v>879039.43728076946</v>
      </c>
      <c r="N45" s="92">
        <f>INDEX('ENE17'!$C$2:$C$48,MATCH(Results!$D$3,'ENE17'!$A$2:$A$48,0))</f>
        <v>930311</v>
      </c>
      <c r="O45" s="129">
        <f>N45-M45</f>
        <v>51271.56271923054</v>
      </c>
      <c r="P45" s="25">
        <f t="shared" si="34"/>
        <v>-105</v>
      </c>
      <c r="Q45" s="24">
        <f t="shared" si="34"/>
        <v>1278</v>
      </c>
      <c r="R45" s="92">
        <f>IFERROR(T45/Q45,0)</f>
        <v>684.13252843779128</v>
      </c>
      <c r="S45" s="24">
        <f>SUM(S29:S38)</f>
        <v>-75796.154471252623</v>
      </c>
      <c r="T45" s="24">
        <f>SUM(T29:T38)</f>
        <v>874321.37134349719</v>
      </c>
      <c r="U45" s="207">
        <f>INDEX('ENE17'!$D$2:$D$48,MATCH(Results!$D$3,'ENE17'!$A$2:$A$48,0))</f>
        <v>902415</v>
      </c>
      <c r="V45" s="24">
        <f>U45-T45</f>
        <v>28093.628656502813</v>
      </c>
      <c r="W45" s="25">
        <f t="shared" ref="W45:X45" si="35">SUM(W29:W38)</f>
        <v>-98</v>
      </c>
      <c r="X45" s="24">
        <f t="shared" si="35"/>
        <v>1180</v>
      </c>
      <c r="Y45" s="92">
        <f>IFERROR(AA45/X45,0)</f>
        <v>736.35860875421804</v>
      </c>
      <c r="Z45" s="24">
        <f t="shared" ref="Z45:AA45" si="36">SUM(Z29:Z38)</f>
        <v>-75140.89663422374</v>
      </c>
      <c r="AA45" s="24">
        <f t="shared" si="36"/>
        <v>868903.1583299773</v>
      </c>
      <c r="AB45" s="207">
        <f>INDEX('ENE17'!$E$2:$E$48,MATCH(Results!$D$3,'ENE17'!$A$2:$A$48,0))</f>
        <v>927845</v>
      </c>
      <c r="AC45" s="24">
        <f>AB45-AA45</f>
        <v>58941.841670022695</v>
      </c>
      <c r="AD45" s="25">
        <f t="shared" ref="AD45:AE45" si="37">SUM(AD29:AD38)</f>
        <v>-92</v>
      </c>
      <c r="AE45" s="24">
        <f t="shared" si="37"/>
        <v>1088</v>
      </c>
      <c r="AF45" s="92">
        <f>IFERROR(AH45/AE45,0)</f>
        <v>790.03615430838886</v>
      </c>
      <c r="AG45" s="24">
        <f t="shared" ref="AG45:AH45" si="38">SUM(AG29:AG38)</f>
        <v>-76814.542678480037</v>
      </c>
      <c r="AH45" s="24">
        <f t="shared" si="38"/>
        <v>859559.33588752709</v>
      </c>
      <c r="AI45" s="207">
        <f>INDEX('ENE17'!$F$2:$F$48,MATCH(Results!$D$3,'ENE17'!$A$2:$A$48,0))</f>
        <v>998578</v>
      </c>
      <c r="AJ45" s="24">
        <f>AI45-AH45</f>
        <v>139018.66411247291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189</v>
      </c>
      <c r="G51" s="193">
        <f>IFERROR(H51/F51,"")</f>
        <v>201.17315761904763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38021.726790000001</v>
      </c>
      <c r="I51" s="97">
        <f>SUMIFS($N$64:$N$509,$B$64:$B$509,$B51)-SUMIFS($O$64:$O$509,$B$64:$B$509,$B51)</f>
        <v>-18</v>
      </c>
      <c r="J51" s="80">
        <f>SUMIFS($P$64:$P$509,$B$64:$B$509,$B51)</f>
        <v>171</v>
      </c>
      <c r="K51" s="80">
        <f>IFERROR(M51/J51,0)</f>
        <v>211.80866094273358</v>
      </c>
      <c r="L51" s="80">
        <f>SUMIFS($R$64:$R$509,$B$64:$B$509,$B51)+SUMIFS($Q$64:$Q$509,$B$64:$B$509,$B51)</f>
        <v>-3092.9327493733786</v>
      </c>
      <c r="M51" s="98">
        <f>SUMIFS($S$64:$S$509,$B$64:$B$509,$B51)</f>
        <v>36219.28102120744</v>
      </c>
      <c r="N51" s="80">
        <f>SUMIFS($V$64:$V$509,$B$64:$B$509,$B51)-SUMIFS($W$64:$W$509,$B$64:$B$509,$B51)</f>
        <v>-6</v>
      </c>
      <c r="O51" s="80">
        <f>SUMIFS($X$64:$X$509,$B$64:$B$509,$B51)</f>
        <v>165</v>
      </c>
      <c r="P51" s="80">
        <f>IFERROR(R51/O51,0)</f>
        <v>229.10451370583201</v>
      </c>
      <c r="Q51" s="80">
        <f>SUMIFS($Z$64:$Z$509,$B$64:$B$509,$B51)+SUMIFS($Y$64:$Y$509,$B$64:$B$509,$B51)</f>
        <v>-1452.0919385515203</v>
      </c>
      <c r="R51" s="80">
        <f>SUMIFS($AA$64:$AA$509,$B$64:$B$509,$B51)</f>
        <v>37802.24476146228</v>
      </c>
      <c r="S51" s="97">
        <f>SUMIFS($AD$64:$AD$509,$B$64:$B$509,$B51)-SUMIFS($AE$64:$AE$509,$B$64:$B$509,$B51)</f>
        <v>-11</v>
      </c>
      <c r="T51" s="80">
        <f>SUMIFS($AF$64:$AF$509,$B$64:$B$509,$B51)</f>
        <v>154</v>
      </c>
      <c r="U51" s="80">
        <f>IFERROR(W51/T51,0)</f>
        <v>246.38402967547589</v>
      </c>
      <c r="V51" s="80">
        <f>SUMIFS($AH$64:$AH$509,$B$64:$B$509,$B51)+SUMIFS($AG$64:$AG$509,$B$64:$B$509,$B51)</f>
        <v>-2987.3066706480513</v>
      </c>
      <c r="W51" s="98">
        <f>SUMIFS($AI$64:$AI$509,$B$64:$B$509,$B51)</f>
        <v>37943.140570023286</v>
      </c>
      <c r="X51" s="80">
        <f>SUMIFS($AL$64:$AL$509,$B$64:$B$509,$B51)-SUMIFS($AM$64:$AM$509,$B$64:$B$509,$B51)</f>
        <v>-7</v>
      </c>
      <c r="Y51" s="80">
        <f>SUMIFS($AN$64:$AN$509,$B$64:$B$509,$B51)</f>
        <v>147</v>
      </c>
      <c r="Z51" s="80">
        <f>IFERROR(AB51/Y51,0)</f>
        <v>261.46883804824699</v>
      </c>
      <c r="AA51" s="80">
        <f>SUMIFS($AP$64:$AP$509,$B$64:$B$509,$B51)+SUMIFS($AO$64:$AO$509,$B$64:$B$509,$B51)</f>
        <v>-2567.2418283485099</v>
      </c>
      <c r="AB51" s="98">
        <f>SUMIFS($AQ$64:$AQ$509,$B$64:$B$509,$B51)</f>
        <v>38435.919193092304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645</v>
      </c>
      <c r="G52" s="192">
        <f t="shared" ref="G52:G55" si="40">IFERROR(H52/F52,"")</f>
        <v>389.32833765891473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251116.77778999999</v>
      </c>
      <c r="I52" s="97">
        <f>SUMIFS($N$64:$N$509,$B$64:$B$509,$B52)-SUMIFS($O$64:$O$509,$B$64:$B$509,$B52)</f>
        <v>-46</v>
      </c>
      <c r="J52" s="80">
        <f>SUMIFS($P$64:$P$509,$B$64:$B$509,$B52)</f>
        <v>599</v>
      </c>
      <c r="K52" s="80">
        <f t="shared" ref="K52:K56" si="41">IFERROR(M52/J52,0)</f>
        <v>422.56109210463376</v>
      </c>
      <c r="L52" s="80">
        <f>SUMIFS($R$64:$R$509,$B$64:$B$509,$B52)+SUMIFS($Q$64:$Q$509,$B$64:$B$509,$B52)</f>
        <v>-20513.381716120606</v>
      </c>
      <c r="M52" s="98">
        <f>SUMIFS($S$64:$S$509,$B$64:$B$509,$B52)</f>
        <v>253114.09417067561</v>
      </c>
      <c r="N52" s="80">
        <f>SUMIFS($V$64:$V$509,$B$64:$B$509,$B52)-SUMIFS($W$64:$W$509,$B$64:$B$509,$B52)</f>
        <v>-56</v>
      </c>
      <c r="O52" s="80">
        <f>SUMIFS($X$64:$X$509,$B$64:$B$509,$B52)</f>
        <v>543</v>
      </c>
      <c r="P52" s="80">
        <f t="shared" ref="P52:P55" si="42">IFERROR(R52/O52,0)</f>
        <v>456.44283507375076</v>
      </c>
      <c r="Q52" s="80">
        <f>SUMIFS($Z$64:$Z$509,$B$64:$B$509,$B52)+SUMIFS($Y$64:$Y$509,$B$64:$B$509,$B52)</f>
        <v>-26856.234213845408</v>
      </c>
      <c r="R52" s="80">
        <f>SUMIFS($AA$64:$AA$509,$B$64:$B$509,$B52)</f>
        <v>247848.45944504667</v>
      </c>
      <c r="S52" s="97">
        <f>SUMIFS($AD$64:$AD$509,$B$64:$B$509,$B52)-SUMIFS($AE$64:$AE$509,$B$64:$B$509,$B52)</f>
        <v>-46</v>
      </c>
      <c r="T52" s="80">
        <f>SUMIFS($AF$64:$AF$509,$B$64:$B$509,$B52)</f>
        <v>497</v>
      </c>
      <c r="U52" s="80">
        <f t="shared" ref="U52:U55" si="43">IFERROR(W52/T52,0)</f>
        <v>494.7317064346438</v>
      </c>
      <c r="V52" s="80">
        <f>SUMIFS($AH$64:$AH$509,$B$64:$B$509,$B52)+SUMIFS($AG$64:$AG$509,$B$64:$B$509,$B52)</f>
        <v>-22855.750045591471</v>
      </c>
      <c r="W52" s="98">
        <f>SUMIFS($AI$64:$AI$509,$B$64:$B$509,$B52)</f>
        <v>245881.65809801797</v>
      </c>
      <c r="X52" s="80">
        <f>SUMIFS($AL$64:$AL$509,$B$64:$B$509,$B52)-SUMIFS($AM$64:$AM$509,$B$64:$B$509,$B52)</f>
        <v>-46</v>
      </c>
      <c r="Y52" s="80">
        <f>SUMIFS($AN$64:$AN$509,$B$64:$B$509,$B52)</f>
        <v>451</v>
      </c>
      <c r="Z52" s="80">
        <f t="shared" ref="Z52:Z55" si="44">IFERROR(AB52/Y52,0)</f>
        <v>532.47988402477142</v>
      </c>
      <c r="AA52" s="80">
        <f>SUMIFS($AP$64:$AP$509,$B$64:$B$509,$B52)+SUMIFS($AO$64:$AO$509,$B$64:$B$509,$B52)</f>
        <v>-25958.233951897651</v>
      </c>
      <c r="AB52" s="98">
        <f>SUMIFS($AQ$64:$AQ$509,$B$64:$B$509,$B52)</f>
        <v>240148.42769517194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333</v>
      </c>
      <c r="G53" s="192">
        <f t="shared" si="40"/>
        <v>797.3483483483484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265517</v>
      </c>
      <c r="I53" s="97">
        <f>SUMIFS($N$64:$N$509,$B$64:$B$509,$B53)-SUMIFS($O$64:$O$509,$B$64:$B$509,$B53)</f>
        <v>-13</v>
      </c>
      <c r="J53" s="80">
        <f>SUMIFS($P$64:$P$509,$B$64:$B$509,$B53)</f>
        <v>320</v>
      </c>
      <c r="K53" s="80">
        <f t="shared" si="41"/>
        <v>885.44623226620149</v>
      </c>
      <c r="L53" s="80">
        <f>SUMIFS($R$64:$R$509,$B$64:$B$509,$B53)+SUMIFS($Q$64:$Q$509,$B$64:$B$509,$B53)</f>
        <v>-6535.7376316045002</v>
      </c>
      <c r="M53" s="98">
        <f>SUMIFS($S$64:$S$509,$B$64:$B$509,$B53)</f>
        <v>283342.79432518448</v>
      </c>
      <c r="N53" s="80">
        <f>SUMIFS($V$64:$V$509,$B$64:$B$509,$B53)-SUMIFS($W$64:$W$509,$B$64:$B$509,$B53)</f>
        <v>-26</v>
      </c>
      <c r="O53" s="80">
        <f>SUMIFS($X$64:$X$509,$B$64:$B$509,$B53)</f>
        <v>294</v>
      </c>
      <c r="P53" s="80">
        <f t="shared" si="42"/>
        <v>959.24997109593176</v>
      </c>
      <c r="Q53" s="80">
        <f>SUMIFS($Z$64:$Z$509,$B$64:$B$509,$B53)+SUMIFS($Y$64:$Y$509,$B$64:$B$509,$B53)</f>
        <v>-25595.009470664252</v>
      </c>
      <c r="R53" s="80">
        <f>SUMIFS($AA$64:$AA$509,$B$64:$B$509,$B53)</f>
        <v>282019.49150220392</v>
      </c>
      <c r="S53" s="97">
        <f>SUMIFS($AD$64:$AD$509,$B$64:$B$509,$B53)-SUMIFS($AE$64:$AE$509,$B$64:$B$509,$B53)</f>
        <v>-23</v>
      </c>
      <c r="T53" s="80">
        <f>SUMIFS($AF$64:$AF$509,$B$64:$B$509,$B53)</f>
        <v>271</v>
      </c>
      <c r="U53" s="80">
        <f t="shared" si="43"/>
        <v>1038.87921983608</v>
      </c>
      <c r="V53" s="80">
        <f>SUMIFS($AH$64:$AH$509,$B$64:$B$509,$B53)+SUMIFS($AG$64:$AG$509,$B$64:$B$509,$B53)</f>
        <v>-24356.007448175867</v>
      </c>
      <c r="W53" s="98">
        <f>SUMIFS($AI$64:$AI$509,$B$64:$B$509,$B53)</f>
        <v>281536.26857557765</v>
      </c>
      <c r="X53" s="80">
        <f>SUMIFS($AL$64:$AL$509,$B$64:$B$509,$B53)-SUMIFS($AM$64:$AM$509,$B$64:$B$509,$B53)</f>
        <v>-24</v>
      </c>
      <c r="Y53" s="80">
        <f>SUMIFS($AN$64:$AN$509,$B$64:$B$509,$B53)</f>
        <v>247</v>
      </c>
      <c r="Z53" s="80">
        <f t="shared" si="44"/>
        <v>1124.6397720019561</v>
      </c>
      <c r="AA53" s="80">
        <f>SUMIFS($AP$64:$AP$509,$B$64:$B$509,$B53)+SUMIFS($AO$64:$AO$509,$B$64:$B$509,$B53)</f>
        <v>-27010.626051042756</v>
      </c>
      <c r="AB53" s="98">
        <f>SUMIFS($AQ$64:$AQ$509,$B$64:$B$509,$B53)</f>
        <v>277786.02368448314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246</v>
      </c>
      <c r="G54" s="192">
        <f t="shared" si="40"/>
        <v>1057.8441509756099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260229.66114000001</v>
      </c>
      <c r="I54" s="97">
        <f>SUMIFS($N$64:$N$509,$B$64:$B$509,$B54)-SUMIFS($O$64:$O$509,$B$64:$B$509,$B54)</f>
        <v>-21</v>
      </c>
      <c r="J54" s="80">
        <f>SUMIFS($P$64:$P$509,$B$64:$B$509,$B54)</f>
        <v>225</v>
      </c>
      <c r="K54" s="80">
        <f t="shared" si="41"/>
        <v>1089.4075456164535</v>
      </c>
      <c r="L54" s="80">
        <f>SUMIFS($R$64:$R$509,$B$64:$B$509,$B54)+SUMIFS($Q$64:$Q$509,$B$64:$B$509,$B54)</f>
        <v>-24871.430402801852</v>
      </c>
      <c r="M54" s="98">
        <f>SUMIFS($S$64:$S$509,$B$64:$B$509,$B54)</f>
        <v>245116.69776370202</v>
      </c>
      <c r="N54" s="80">
        <f>SUMIFS($V$64:$V$509,$B$64:$B$509,$B54)-SUMIFS($W$64:$W$509,$B$64:$B$509,$B54)</f>
        <v>-17</v>
      </c>
      <c r="O54" s="80">
        <f>SUMIFS($X$64:$X$509,$B$64:$B$509,$B54)</f>
        <v>208</v>
      </c>
      <c r="P54" s="80">
        <f t="shared" si="42"/>
        <v>1162.1625549749242</v>
      </c>
      <c r="Q54" s="80">
        <f>SUMIFS($Z$64:$Z$509,$B$64:$B$509,$B54)+SUMIFS($Y$64:$Y$509,$B$64:$B$509,$B54)</f>
        <v>-21892.818848191451</v>
      </c>
      <c r="R54" s="80">
        <f>SUMIFS($AA$64:$AA$509,$B$64:$B$509,$B54)</f>
        <v>241729.81143478423</v>
      </c>
      <c r="S54" s="97">
        <f>SUMIFS($AD$64:$AD$509,$B$64:$B$509,$B54)-SUMIFS($AE$64:$AE$509,$B$64:$B$509,$B54)</f>
        <v>-18</v>
      </c>
      <c r="T54" s="80">
        <f>SUMIFS($AF$64:$AF$509,$B$64:$B$509,$B54)</f>
        <v>190</v>
      </c>
      <c r="U54" s="80">
        <f t="shared" si="43"/>
        <v>1235.7387705187282</v>
      </c>
      <c r="V54" s="80">
        <f>SUMIFS($AH$64:$AH$509,$B$64:$B$509,$B54)+SUMIFS($AG$64:$AG$509,$B$64:$B$509,$B54)</f>
        <v>-24941.832469808352</v>
      </c>
      <c r="W54" s="98">
        <f>SUMIFS($AI$64:$AI$509,$B$64:$B$509,$B54)</f>
        <v>234790.36639855834</v>
      </c>
      <c r="X54" s="80">
        <f>SUMIFS($AL$64:$AL$509,$B$64:$B$509,$B54)-SUMIFS($AM$64:$AM$509,$B$64:$B$509,$B54)</f>
        <v>-15</v>
      </c>
      <c r="Y54" s="80">
        <f>SUMIFS($AN$64:$AN$509,$B$64:$B$509,$B54)</f>
        <v>175</v>
      </c>
      <c r="Z54" s="80">
        <f t="shared" si="44"/>
        <v>1317.247956113001</v>
      </c>
      <c r="AA54" s="80">
        <f>SUMIFS($AP$64:$AP$509,$B$64:$B$509,$B54)+SUMIFS($AO$64:$AO$509,$B$64:$B$509,$B54)</f>
        <v>-21278.440847191137</v>
      </c>
      <c r="AB54" s="98">
        <f>SUMIFS($AQ$64:$AQ$509,$B$64:$B$509,$B54)</f>
        <v>230518.39231977516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68</v>
      </c>
      <c r="G55" s="192">
        <f t="shared" si="40"/>
        <v>871.91176470588232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59290</v>
      </c>
      <c r="I55" s="101">
        <f>SUMIFS($N$64:$N$509,$B$64:$B$509,$B55)-SUMIFS($O$64:$O$509,$B$64:$B$509,$B55)</f>
        <v>0</v>
      </c>
      <c r="J55" s="102">
        <f>SUMIFS($P$64:$P$509,$B$64:$B$509,$B55)</f>
        <v>68</v>
      </c>
      <c r="K55" s="102">
        <f t="shared" si="41"/>
        <v>900.68485294117647</v>
      </c>
      <c r="L55" s="102">
        <f>SUMIFS($R$64:$R$509,$B$64:$B$509,$B55)+SUMIFS($Q$64:$Q$509,$B$64:$B$509,$B55)</f>
        <v>0</v>
      </c>
      <c r="M55" s="103">
        <f>SUMIFS($S$64:$S$509,$B$64:$B$509,$B55)</f>
        <v>61246.57</v>
      </c>
      <c r="N55" s="80">
        <f>SUMIFS($V$64:$V$509,$B$64:$B$509,$B55)-SUMIFS($W$64:$W$509,$B$64:$B$509,$B55)</f>
        <v>0</v>
      </c>
      <c r="O55" s="80">
        <f>SUMIFS($X$64:$X$509,$B$64:$B$509,$B55)</f>
        <v>68</v>
      </c>
      <c r="P55" s="80">
        <f t="shared" si="42"/>
        <v>954.72594411764692</v>
      </c>
      <c r="Q55" s="80">
        <f>SUMIFS($Z$64:$Z$509,$B$64:$B$509,$B55)+SUMIFS($Y$64:$Y$509,$B$64:$B$509,$B55)</f>
        <v>0</v>
      </c>
      <c r="R55" s="80">
        <f>SUMIFS($AA$64:$AA$509,$B$64:$B$509,$B55)</f>
        <v>64921.364199999989</v>
      </c>
      <c r="S55" s="101">
        <f>SUMIFS($AD$64:$AD$509,$B$64:$B$509,$B55)-SUMIFS($AE$64:$AE$509,$B$64:$B$509,$B55)</f>
        <v>0</v>
      </c>
      <c r="T55" s="102">
        <f>SUMIFS($AF$64:$AF$509,$B$64:$B$509,$B55)</f>
        <v>68</v>
      </c>
      <c r="U55" s="102">
        <f t="shared" si="43"/>
        <v>1011.054774820588</v>
      </c>
      <c r="V55" s="102">
        <f>SUMIFS($AH$64:$AH$509,$B$64:$B$509,$B55)+SUMIFS($AG$64:$AG$509,$B$64:$B$509,$B55)</f>
        <v>0</v>
      </c>
      <c r="W55" s="103">
        <f>SUMIFS($AI$64:$AI$509,$B$64:$B$509,$B55)</f>
        <v>68751.724687799986</v>
      </c>
      <c r="X55" s="80">
        <f>SUMIFS($AL$64:$AL$509,$B$64:$B$509,$B55)-SUMIFS($AM$64:$AM$509,$B$64:$B$509,$B55)</f>
        <v>0</v>
      </c>
      <c r="Y55" s="80">
        <f>SUMIFS($AN$64:$AN$509,$B$64:$B$509,$B55)</f>
        <v>68</v>
      </c>
      <c r="Z55" s="80">
        <f t="shared" si="44"/>
        <v>1068.6848969853618</v>
      </c>
      <c r="AA55" s="80">
        <f>SUMIFS($AP$64:$AP$509,$B$64:$B$509,$B55)+SUMIFS($AO$64:$AO$509,$B$64:$B$509,$B55)</f>
        <v>0</v>
      </c>
      <c r="AB55" s="98">
        <f>SUMIFS($AQ$64:$AQ$509,$B$64:$B$509,$B55)</f>
        <v>72670.572995004593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1481</v>
      </c>
      <c r="G56" s="92">
        <f t="shared" ref="G56" si="45">IFERROR(H56/F56,0)</f>
        <v>590.26007138419982</v>
      </c>
      <c r="H56" s="92">
        <f>SUM(H51:H55)</f>
        <v>874175.16571999993</v>
      </c>
      <c r="I56" s="92">
        <f>SUM(I51:I55)</f>
        <v>-98</v>
      </c>
      <c r="J56" s="92">
        <f>SUM(J51:J55)</f>
        <v>1383</v>
      </c>
      <c r="K56" s="92">
        <f t="shared" si="41"/>
        <v>635.60335305912474</v>
      </c>
      <c r="L56" s="92">
        <f>SUM(L51:L55)</f>
        <v>-55013.482499900339</v>
      </c>
      <c r="M56" s="92">
        <f>SUM(M51:M55)</f>
        <v>879039.43728076946</v>
      </c>
      <c r="N56" s="92">
        <f t="shared" ref="N56:O56" si="46">SUM(N51:N55)</f>
        <v>-105</v>
      </c>
      <c r="O56" s="92">
        <f t="shared" si="46"/>
        <v>1278</v>
      </c>
      <c r="P56" s="92">
        <f>IFERROR(R56/O56,0)</f>
        <v>684.13252843779105</v>
      </c>
      <c r="Q56" s="92">
        <f t="shared" ref="Q56" si="47">SUM(Q51:Q55)</f>
        <v>-75796.154471252637</v>
      </c>
      <c r="R56" s="92">
        <f t="shared" ref="R56:T56" si="48">SUM(R51:R55)</f>
        <v>874321.37134349695</v>
      </c>
      <c r="S56" s="92">
        <f t="shared" si="48"/>
        <v>-98</v>
      </c>
      <c r="T56" s="92">
        <f t="shared" si="48"/>
        <v>1180</v>
      </c>
      <c r="U56" s="92">
        <f>IFERROR(W56/T56,0)</f>
        <v>736.35860875421793</v>
      </c>
      <c r="V56" s="92">
        <f t="shared" ref="V56" si="49">SUM(V51:V55)</f>
        <v>-75140.896634223755</v>
      </c>
      <c r="W56" s="92">
        <f t="shared" ref="W56:Y56" si="50">SUM(W51:W55)</f>
        <v>868903.15832997719</v>
      </c>
      <c r="X56" s="92">
        <f t="shared" si="50"/>
        <v>-92</v>
      </c>
      <c r="Y56" s="92">
        <f t="shared" si="50"/>
        <v>1088</v>
      </c>
      <c r="Z56" s="92">
        <f>IFERROR(AB56/Y56,0)</f>
        <v>790.03615430838897</v>
      </c>
      <c r="AA56" s="92">
        <f t="shared" ref="AA56" si="51">SUM(AA51:AA55)</f>
        <v>-76814.542678480066</v>
      </c>
      <c r="AB56" s="104">
        <f t="shared" ref="AB56" si="52">SUM(AB51:AB55)</f>
        <v>859559.33588752721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11</v>
      </c>
      <c r="G64" s="35">
        <f>SUMIFS(WORKING!$AC$3:$AC$6802,WORKING!$A$3:$A$6802,Results!$D$3,WORKING!$B$3:$B$6802,Results!A64,WORKING!$C$3:$C$6802,Results!C64)/1000</f>
        <v>768</v>
      </c>
      <c r="H64" s="35">
        <f>IFERROR(G64/F64,0)</f>
        <v>69.818181818181813</v>
      </c>
      <c r="I64" s="156">
        <v>0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76.251229090909092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82.81264735418182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89.854620821944664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97.313003623270163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7</v>
      </c>
      <c r="G65" s="35">
        <f>SUMIFS(WORKING!$AC$3:$AC$6802,WORKING!$A$3:$A$6802,Results!$D$3,WORKING!$B$3:$B$6802,Results!A65,WORKING!$C$3:$C$6802,Results!C65)/1000</f>
        <v>1058.99999</v>
      </c>
      <c r="H65" s="35">
        <f t="shared" ref="H65:H80" si="60">IFERROR(G65/F65,0)</f>
        <v>151.28571285714287</v>
      </c>
      <c r="I65" s="187">
        <v>0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165.22517843980003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179.4428050445448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194.70172397150765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210.8629405697626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21</v>
      </c>
      <c r="G66" s="35">
        <f>SUMIFS(WORKING!$AC$3:$AC$6802,WORKING!$A$3:$A$6802,Results!$D$3,WORKING!$B$3:$B$6802,Results!A66,WORKING!$C$3:$C$6802,Results!C66)/1000</f>
        <v>3411.2060600000004</v>
      </c>
      <c r="H66" s="35">
        <f t="shared" si="60"/>
        <v>162.43838380952383</v>
      </c>
      <c r="I66" s="187">
        <v>39</v>
      </c>
      <c r="J66" s="212">
        <v>5238</v>
      </c>
      <c r="K66" s="217">
        <f t="shared" si="61"/>
        <v>134.30769230769232</v>
      </c>
      <c r="L66" s="34">
        <f t="shared" si="54"/>
        <v>39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145.80441075999104</v>
      </c>
      <c r="N66" s="57">
        <v>0</v>
      </c>
      <c r="O66" s="57">
        <v>5</v>
      </c>
      <c r="P66" s="61">
        <f t="shared" si="55"/>
        <v>34</v>
      </c>
      <c r="Q66" s="40">
        <f t="shared" si="62"/>
        <v>0</v>
      </c>
      <c r="R66" s="40">
        <f t="shared" si="63"/>
        <v>-729.02205379995519</v>
      </c>
      <c r="S66" s="44">
        <f t="shared" si="64"/>
        <v>4957.3499658396959</v>
      </c>
      <c r="T66" s="35">
        <f t="shared" si="65"/>
        <v>34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158.07871177048139</v>
      </c>
      <c r="V66" s="57">
        <v>0</v>
      </c>
      <c r="W66" s="57">
        <v>0</v>
      </c>
      <c r="X66" s="61">
        <f t="shared" si="56"/>
        <v>34</v>
      </c>
      <c r="Y66" s="40">
        <f t="shared" si="66"/>
        <v>0</v>
      </c>
      <c r="Z66" s="40">
        <f t="shared" si="67"/>
        <v>0</v>
      </c>
      <c r="AA66" s="44">
        <f t="shared" si="68"/>
        <v>5374.6762001963671</v>
      </c>
      <c r="AB66" s="35">
        <f t="shared" si="69"/>
        <v>34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171.22619372002478</v>
      </c>
      <c r="AD66" s="57">
        <v>0</v>
      </c>
      <c r="AE66" s="57">
        <v>0</v>
      </c>
      <c r="AF66" s="61">
        <f t="shared" si="57"/>
        <v>34</v>
      </c>
      <c r="AG66" s="40">
        <f t="shared" si="70"/>
        <v>0</v>
      </c>
      <c r="AH66" s="40">
        <f t="shared" si="71"/>
        <v>0</v>
      </c>
      <c r="AI66" s="44">
        <f t="shared" si="72"/>
        <v>5821.6905864808423</v>
      </c>
      <c r="AJ66" s="35">
        <f t="shared" si="58"/>
        <v>34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185.12030385252248</v>
      </c>
      <c r="AL66" s="57">
        <v>0</v>
      </c>
      <c r="AM66" s="57">
        <v>0</v>
      </c>
      <c r="AN66" s="61">
        <f t="shared" si="59"/>
        <v>34</v>
      </c>
      <c r="AO66" s="40">
        <f t="shared" si="73"/>
        <v>0</v>
      </c>
      <c r="AP66" s="40">
        <f t="shared" si="74"/>
        <v>0</v>
      </c>
      <c r="AQ66" s="44">
        <f t="shared" si="75"/>
        <v>6294.090330985764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2</v>
      </c>
      <c r="G67" s="35">
        <f>SUMIFS(WORKING!$AC$3:$AC$6802,WORKING!$A$3:$A$6802,Results!$D$3,WORKING!$B$3:$B$6802,Results!A67,WORKING!$C$3:$C$6802,Results!C67)/1000</f>
        <v>375.72753999999998</v>
      </c>
      <c r="H67" s="35">
        <f t="shared" si="60"/>
        <v>187.86376999999999</v>
      </c>
      <c r="I67" s="187">
        <v>2</v>
      </c>
      <c r="J67" s="212" t="s">
        <v>754</v>
      </c>
      <c r="K67" s="217">
        <f t="shared" si="61"/>
        <v>187.86376999999999</v>
      </c>
      <c r="L67" s="34">
        <f t="shared" si="54"/>
        <v>2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203.86315495723701</v>
      </c>
      <c r="N67" s="57">
        <v>0</v>
      </c>
      <c r="O67" s="57">
        <v>0</v>
      </c>
      <c r="P67" s="61">
        <f t="shared" si="55"/>
        <v>2</v>
      </c>
      <c r="Q67" s="40">
        <f t="shared" si="62"/>
        <v>0</v>
      </c>
      <c r="R67" s="40">
        <f t="shared" si="63"/>
        <v>0</v>
      </c>
      <c r="S67" s="44">
        <f t="shared" si="64"/>
        <v>407.72630991447403</v>
      </c>
      <c r="T67" s="35">
        <f t="shared" si="65"/>
        <v>2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220.99543582989486</v>
      </c>
      <c r="V67" s="57">
        <v>0</v>
      </c>
      <c r="W67" s="57">
        <v>0</v>
      </c>
      <c r="X67" s="61">
        <f t="shared" si="56"/>
        <v>2</v>
      </c>
      <c r="Y67" s="40">
        <f t="shared" si="66"/>
        <v>0</v>
      </c>
      <c r="Z67" s="40">
        <f t="shared" si="67"/>
        <v>0</v>
      </c>
      <c r="AA67" s="44">
        <f t="shared" si="68"/>
        <v>441.99087165978972</v>
      </c>
      <c r="AB67" s="35">
        <f t="shared" si="69"/>
        <v>2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239.34388692833377</v>
      </c>
      <c r="AD67" s="57">
        <v>0</v>
      </c>
      <c r="AE67" s="57">
        <v>0</v>
      </c>
      <c r="AF67" s="61">
        <f t="shared" si="57"/>
        <v>2</v>
      </c>
      <c r="AG67" s="40">
        <f t="shared" si="70"/>
        <v>0</v>
      </c>
      <c r="AH67" s="40">
        <f t="shared" si="71"/>
        <v>0</v>
      </c>
      <c r="AI67" s="44">
        <f t="shared" si="72"/>
        <v>478.68777385666755</v>
      </c>
      <c r="AJ67" s="35">
        <f t="shared" si="58"/>
        <v>2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258.73142529362315</v>
      </c>
      <c r="AL67" s="57">
        <v>0</v>
      </c>
      <c r="AM67" s="57">
        <v>0</v>
      </c>
      <c r="AN67" s="61">
        <f t="shared" si="59"/>
        <v>2</v>
      </c>
      <c r="AO67" s="40">
        <f t="shared" si="73"/>
        <v>0</v>
      </c>
      <c r="AP67" s="40">
        <f t="shared" si="74"/>
        <v>0</v>
      </c>
      <c r="AQ67" s="44">
        <f t="shared" si="75"/>
        <v>517.46285058724629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22</v>
      </c>
      <c r="G68" s="35">
        <f>SUMIFS(WORKING!$AC$3:$AC$6802,WORKING!$A$3:$A$6802,Results!$D$3,WORKING!$B$3:$B$6802,Results!A68,WORKING!$C$3:$C$6802,Results!C68)/1000</f>
        <v>4619.7982499999989</v>
      </c>
      <c r="H68" s="35">
        <f t="shared" si="60"/>
        <v>209.99082954545449</v>
      </c>
      <c r="I68" s="187">
        <v>21</v>
      </c>
      <c r="J68" s="212">
        <v>4410</v>
      </c>
      <c r="K68" s="217">
        <f t="shared" si="61"/>
        <v>210</v>
      </c>
      <c r="L68" s="34">
        <f t="shared" si="54"/>
        <v>21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228.28553235011753</v>
      </c>
      <c r="N68" s="57">
        <v>0</v>
      </c>
      <c r="O68" s="57">
        <v>0</v>
      </c>
      <c r="P68" s="61">
        <f t="shared" si="55"/>
        <v>21</v>
      </c>
      <c r="Q68" s="40">
        <f t="shared" si="62"/>
        <v>0</v>
      </c>
      <c r="R68" s="40">
        <f t="shared" si="63"/>
        <v>0</v>
      </c>
      <c r="S68" s="44">
        <f t="shared" si="64"/>
        <v>4793.9961793524681</v>
      </c>
      <c r="T68" s="35">
        <f t="shared" si="65"/>
        <v>21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247.60047775505879</v>
      </c>
      <c r="V68" s="57">
        <v>0</v>
      </c>
      <c r="W68" s="57">
        <v>0</v>
      </c>
      <c r="X68" s="61">
        <f t="shared" si="56"/>
        <v>21</v>
      </c>
      <c r="Y68" s="40">
        <f t="shared" si="66"/>
        <v>0</v>
      </c>
      <c r="Z68" s="40">
        <f t="shared" si="67"/>
        <v>0</v>
      </c>
      <c r="AA68" s="44">
        <f t="shared" si="68"/>
        <v>5199.6100328562343</v>
      </c>
      <c r="AB68" s="35">
        <f t="shared" si="69"/>
        <v>21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268.29868672880747</v>
      </c>
      <c r="AD68" s="57">
        <v>0</v>
      </c>
      <c r="AE68" s="57">
        <v>0</v>
      </c>
      <c r="AF68" s="61">
        <f t="shared" si="57"/>
        <v>21</v>
      </c>
      <c r="AG68" s="40">
        <f t="shared" si="70"/>
        <v>0</v>
      </c>
      <c r="AH68" s="40">
        <f t="shared" si="71"/>
        <v>0</v>
      </c>
      <c r="AI68" s="44">
        <f t="shared" si="72"/>
        <v>5634.2724213049569</v>
      </c>
      <c r="AJ68" s="35">
        <f t="shared" si="58"/>
        <v>21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290.18331187258116</v>
      </c>
      <c r="AL68" s="57">
        <v>0</v>
      </c>
      <c r="AM68" s="57">
        <v>0</v>
      </c>
      <c r="AN68" s="61">
        <f t="shared" si="59"/>
        <v>21</v>
      </c>
      <c r="AO68" s="40">
        <f t="shared" si="73"/>
        <v>0</v>
      </c>
      <c r="AP68" s="40">
        <f t="shared" si="74"/>
        <v>0</v>
      </c>
      <c r="AQ68" s="44">
        <f t="shared" si="75"/>
        <v>6093.8495493242044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53</v>
      </c>
      <c r="G69" s="35">
        <f>SUMIFS(WORKING!$AC$3:$AC$6802,WORKING!$A$3:$A$6802,Results!$D$3,WORKING!$B$3:$B$6802,Results!A69,WORKING!$C$3:$C$6802,Results!C69)/1000</f>
        <v>15713.8076</v>
      </c>
      <c r="H69" s="35">
        <f t="shared" si="60"/>
        <v>296.48693584905658</v>
      </c>
      <c r="I69" s="187">
        <v>62</v>
      </c>
      <c r="J69" s="212">
        <v>18352</v>
      </c>
      <c r="K69" s="217">
        <f t="shared" si="61"/>
        <v>296</v>
      </c>
      <c r="L69" s="34">
        <f t="shared" si="54"/>
        <v>62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321.98269703372642</v>
      </c>
      <c r="N69" s="57">
        <v>0</v>
      </c>
      <c r="O69" s="57">
        <v>5</v>
      </c>
      <c r="P69" s="61">
        <f t="shared" si="55"/>
        <v>57</v>
      </c>
      <c r="Q69" s="40">
        <f t="shared" si="62"/>
        <v>0</v>
      </c>
      <c r="R69" s="40">
        <f t="shared" si="63"/>
        <v>-1609.9134851686322</v>
      </c>
      <c r="S69" s="44">
        <f t="shared" si="64"/>
        <v>18353.013730922405</v>
      </c>
      <c r="T69" s="35">
        <f t="shared" si="65"/>
        <v>57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349.28842009574652</v>
      </c>
      <c r="V69" s="57">
        <v>0</v>
      </c>
      <c r="W69" s="57">
        <v>3</v>
      </c>
      <c r="X69" s="61">
        <f t="shared" si="56"/>
        <v>54</v>
      </c>
      <c r="Y69" s="40">
        <f t="shared" si="66"/>
        <v>0</v>
      </c>
      <c r="Z69" s="40">
        <f t="shared" si="67"/>
        <v>-1047.8652602872396</v>
      </c>
      <c r="AA69" s="44">
        <f t="shared" si="68"/>
        <v>18861.574685170312</v>
      </c>
      <c r="AB69" s="35">
        <f t="shared" si="69"/>
        <v>54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378.55579757787461</v>
      </c>
      <c r="AD69" s="57">
        <v>0</v>
      </c>
      <c r="AE69" s="57">
        <v>6</v>
      </c>
      <c r="AF69" s="61">
        <f t="shared" si="57"/>
        <v>48</v>
      </c>
      <c r="AG69" s="40">
        <f t="shared" si="70"/>
        <v>0</v>
      </c>
      <c r="AH69" s="40">
        <f t="shared" si="71"/>
        <v>-2271.3347854672475</v>
      </c>
      <c r="AI69" s="44">
        <f t="shared" si="72"/>
        <v>18170.67828373798</v>
      </c>
      <c r="AJ69" s="35">
        <f t="shared" si="58"/>
        <v>48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409.50819374683056</v>
      </c>
      <c r="AL69" s="57">
        <v>0</v>
      </c>
      <c r="AM69" s="57">
        <v>6</v>
      </c>
      <c r="AN69" s="61">
        <f t="shared" si="59"/>
        <v>42</v>
      </c>
      <c r="AO69" s="40">
        <f t="shared" si="73"/>
        <v>0</v>
      </c>
      <c r="AP69" s="40">
        <f t="shared" si="74"/>
        <v>-2457.0491624809833</v>
      </c>
      <c r="AQ69" s="44">
        <f t="shared" si="75"/>
        <v>17199.344137366883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69</v>
      </c>
      <c r="G70" s="35">
        <f>SUMIFS(WORKING!$AC$3:$AC$6802,WORKING!$A$3:$A$6802,Results!$D$3,WORKING!$B$3:$B$6802,Results!A70,WORKING!$C$3:$C$6802,Results!C70)/1000</f>
        <v>17894.712800000005</v>
      </c>
      <c r="H70" s="35">
        <f t="shared" si="60"/>
        <v>259.34366376811602</v>
      </c>
      <c r="I70" s="187">
        <v>70</v>
      </c>
      <c r="J70" s="212">
        <v>17636</v>
      </c>
      <c r="K70" s="217">
        <f t="shared" si="61"/>
        <v>251.94285714285715</v>
      </c>
      <c r="L70" s="34">
        <f t="shared" si="54"/>
        <v>70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274.29151511840007</v>
      </c>
      <c r="N70" s="57">
        <v>0</v>
      </c>
      <c r="O70" s="57">
        <v>2</v>
      </c>
      <c r="P70" s="61">
        <f t="shared" si="55"/>
        <v>68</v>
      </c>
      <c r="Q70" s="40">
        <f t="shared" si="62"/>
        <v>0</v>
      </c>
      <c r="R70" s="40">
        <f t="shared" si="63"/>
        <v>-548.58303023680014</v>
      </c>
      <c r="S70" s="44">
        <f t="shared" si="64"/>
        <v>18651.823028051203</v>
      </c>
      <c r="T70" s="35">
        <f t="shared" si="65"/>
        <v>68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297.62519609154981</v>
      </c>
      <c r="V70" s="57">
        <v>0</v>
      </c>
      <c r="W70" s="57">
        <v>4</v>
      </c>
      <c r="X70" s="61">
        <f t="shared" si="56"/>
        <v>64</v>
      </c>
      <c r="Y70" s="40">
        <f t="shared" si="66"/>
        <v>0</v>
      </c>
      <c r="Z70" s="40">
        <f t="shared" si="67"/>
        <v>-1190.5007843661992</v>
      </c>
      <c r="AA70" s="44">
        <f t="shared" si="68"/>
        <v>19048.012549859188</v>
      </c>
      <c r="AB70" s="35">
        <f t="shared" si="69"/>
        <v>64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322.64211688605616</v>
      </c>
      <c r="AD70" s="57">
        <v>0</v>
      </c>
      <c r="AE70" s="57">
        <v>4</v>
      </c>
      <c r="AF70" s="61">
        <f t="shared" si="57"/>
        <v>60</v>
      </c>
      <c r="AG70" s="40">
        <f t="shared" si="70"/>
        <v>0</v>
      </c>
      <c r="AH70" s="40">
        <f t="shared" si="71"/>
        <v>-1290.5684675442246</v>
      </c>
      <c r="AI70" s="44">
        <f t="shared" si="72"/>
        <v>19358.52701316337</v>
      </c>
      <c r="AJ70" s="35">
        <f t="shared" si="58"/>
        <v>60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349.10765171703446</v>
      </c>
      <c r="AL70" s="57">
        <v>0</v>
      </c>
      <c r="AM70" s="57">
        <v>4</v>
      </c>
      <c r="AN70" s="61">
        <f t="shared" si="59"/>
        <v>56</v>
      </c>
      <c r="AO70" s="40">
        <f t="shared" si="73"/>
        <v>0</v>
      </c>
      <c r="AP70" s="40">
        <f t="shared" si="74"/>
        <v>-1396.4306068681378</v>
      </c>
      <c r="AQ70" s="44">
        <f t="shared" si="75"/>
        <v>19550.028496153929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60</v>
      </c>
      <c r="G71" s="35">
        <f>SUMIFS(WORKING!$AC$3:$AC$6802,WORKING!$A$3:$A$6802,Results!$D$3,WORKING!$B$3:$B$6802,Results!A71,WORKING!$C$3:$C$6802,Results!C71)/1000</f>
        <v>22542.597600000001</v>
      </c>
      <c r="H71" s="35">
        <f>IFERROR(G71/F71,0)</f>
        <v>375.70996000000002</v>
      </c>
      <c r="I71" s="187">
        <v>58</v>
      </c>
      <c r="J71" s="212">
        <v>21791</v>
      </c>
      <c r="K71" s="217">
        <f t="shared" si="61"/>
        <v>375.70689655172413</v>
      </c>
      <c r="L71" s="34">
        <f t="shared" si="54"/>
        <v>58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409.23061245391801</v>
      </c>
      <c r="N71" s="57">
        <v>0</v>
      </c>
      <c r="O71" s="57">
        <v>3</v>
      </c>
      <c r="P71" s="61">
        <f t="shared" si="55"/>
        <v>55</v>
      </c>
      <c r="Q71" s="40">
        <f t="shared" si="62"/>
        <v>0</v>
      </c>
      <c r="R71" s="40">
        <f t="shared" si="63"/>
        <v>-1227.6918373617541</v>
      </c>
      <c r="S71" s="44">
        <f t="shared" si="64"/>
        <v>22507.68368496549</v>
      </c>
      <c r="T71" s="35">
        <f t="shared" si="65"/>
        <v>55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444.10455240609144</v>
      </c>
      <c r="V71" s="57">
        <v>0</v>
      </c>
      <c r="W71" s="57">
        <v>3</v>
      </c>
      <c r="X71" s="61">
        <f t="shared" si="56"/>
        <v>52</v>
      </c>
      <c r="Y71" s="40">
        <f t="shared" si="66"/>
        <v>0</v>
      </c>
      <c r="Z71" s="40">
        <f t="shared" si="67"/>
        <v>-1332.3136572182743</v>
      </c>
      <c r="AA71" s="44">
        <f t="shared" si="68"/>
        <v>23093.436725116757</v>
      </c>
      <c r="AB71" s="35">
        <f t="shared" si="69"/>
        <v>52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481.50008255591939</v>
      </c>
      <c r="AD71" s="57">
        <v>0</v>
      </c>
      <c r="AE71" s="57">
        <v>3</v>
      </c>
      <c r="AF71" s="61">
        <f t="shared" si="57"/>
        <v>49</v>
      </c>
      <c r="AG71" s="40">
        <f t="shared" si="70"/>
        <v>0</v>
      </c>
      <c r="AH71" s="40">
        <f t="shared" si="71"/>
        <v>-1444.5002476677582</v>
      </c>
      <c r="AI71" s="44">
        <f t="shared" si="72"/>
        <v>23593.50404524005</v>
      </c>
      <c r="AJ71" s="35">
        <f t="shared" si="58"/>
        <v>49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521.0680269861557</v>
      </c>
      <c r="AL71" s="57">
        <v>0</v>
      </c>
      <c r="AM71" s="57">
        <v>3</v>
      </c>
      <c r="AN71" s="61">
        <f t="shared" si="59"/>
        <v>46</v>
      </c>
      <c r="AO71" s="40">
        <f t="shared" si="73"/>
        <v>0</v>
      </c>
      <c r="AP71" s="40">
        <f t="shared" si="74"/>
        <v>-1563.2040809584671</v>
      </c>
      <c r="AQ71" s="44">
        <f t="shared" si="75"/>
        <v>23969.129241363164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37</v>
      </c>
      <c r="G72" s="35">
        <f>SUMIFS(WORKING!$AC$3:$AC$6802,WORKING!$A$3:$A$6802,Results!$D$3,WORKING!$B$3:$B$6802,Results!A72,WORKING!$C$3:$C$6802,Results!C72)/1000</f>
        <v>16160.884989999999</v>
      </c>
      <c r="H72" s="35">
        <f t="shared" si="60"/>
        <v>436.78067540540536</v>
      </c>
      <c r="I72" s="187">
        <v>35</v>
      </c>
      <c r="J72" s="212">
        <v>15284</v>
      </c>
      <c r="K72" s="217">
        <f>IFERROR(IF(J72="",G72,J72)/IF(I72="",F72,I72),"")</f>
        <v>436.68571428571431</v>
      </c>
      <c r="L72" s="34">
        <f t="shared" si="54"/>
        <v>35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475.92466412978899</v>
      </c>
      <c r="N72" s="57">
        <v>0</v>
      </c>
      <c r="O72" s="57">
        <v>5</v>
      </c>
      <c r="P72" s="61">
        <f t="shared" si="55"/>
        <v>30</v>
      </c>
      <c r="Q72" s="40">
        <f t="shared" si="62"/>
        <v>0</v>
      </c>
      <c r="R72" s="40">
        <f t="shared" si="63"/>
        <v>-2379.6233206489451</v>
      </c>
      <c r="S72" s="44">
        <f t="shared" si="64"/>
        <v>14277.73992389367</v>
      </c>
      <c r="T72" s="35">
        <f t="shared" si="65"/>
        <v>30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516.56781222321695</v>
      </c>
      <c r="V72" s="57">
        <v>0</v>
      </c>
      <c r="W72" s="57">
        <v>2</v>
      </c>
      <c r="X72" s="61">
        <f t="shared" si="56"/>
        <v>28</v>
      </c>
      <c r="Y72" s="40">
        <f t="shared" si="66"/>
        <v>0</v>
      </c>
      <c r="Z72" s="40">
        <f t="shared" si="67"/>
        <v>-1033.1356244464339</v>
      </c>
      <c r="AA72" s="44">
        <f t="shared" si="68"/>
        <v>14463.898742250074</v>
      </c>
      <c r="AB72" s="35">
        <f t="shared" si="69"/>
        <v>28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560.15790020856605</v>
      </c>
      <c r="AD72" s="57">
        <v>0</v>
      </c>
      <c r="AE72" s="57">
        <v>2</v>
      </c>
      <c r="AF72" s="61">
        <f t="shared" si="57"/>
        <v>26</v>
      </c>
      <c r="AG72" s="40">
        <f t="shared" si="70"/>
        <v>0</v>
      </c>
      <c r="AH72" s="40">
        <f t="shared" si="71"/>
        <v>-1120.3158004171321</v>
      </c>
      <c r="AI72" s="44">
        <f t="shared" si="72"/>
        <v>14564.105405422717</v>
      </c>
      <c r="AJ72" s="35">
        <f t="shared" si="58"/>
        <v>26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606.29004636488821</v>
      </c>
      <c r="AL72" s="57">
        <v>0</v>
      </c>
      <c r="AM72" s="57">
        <v>0</v>
      </c>
      <c r="AN72" s="61">
        <f t="shared" si="59"/>
        <v>26</v>
      </c>
      <c r="AO72" s="40">
        <f t="shared" si="73"/>
        <v>0</v>
      </c>
      <c r="AP72" s="40">
        <f t="shared" si="74"/>
        <v>0</v>
      </c>
      <c r="AQ72" s="44">
        <f t="shared" si="75"/>
        <v>15763.541205487094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63</v>
      </c>
      <c r="G73" s="35">
        <f>SUMIFS(WORKING!$AC$3:$AC$6802,WORKING!$A$3:$A$6802,Results!$D$3,WORKING!$B$3:$B$6802,Results!A73,WORKING!$C$3:$C$6802,Results!C73)/1000</f>
        <v>28103.368819999996</v>
      </c>
      <c r="H73" s="35">
        <f t="shared" si="60"/>
        <v>446.0852193650793</v>
      </c>
      <c r="I73" s="187">
        <v>59</v>
      </c>
      <c r="J73" s="212">
        <v>26319</v>
      </c>
      <c r="K73" s="217">
        <f t="shared" si="61"/>
        <v>446.08474576271186</v>
      </c>
      <c r="L73" s="34">
        <f t="shared" si="54"/>
        <v>59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486.30094277623743</v>
      </c>
      <c r="N73" s="57">
        <v>0</v>
      </c>
      <c r="O73" s="57">
        <v>1</v>
      </c>
      <c r="P73" s="61">
        <f t="shared" si="55"/>
        <v>58</v>
      </c>
      <c r="Q73" s="40">
        <f t="shared" si="62"/>
        <v>0</v>
      </c>
      <c r="R73" s="40">
        <f t="shared" si="63"/>
        <v>-486.30094277623743</v>
      </c>
      <c r="S73" s="44">
        <f t="shared" si="64"/>
        <v>28205.454681021773</v>
      </c>
      <c r="T73" s="35">
        <f t="shared" si="65"/>
        <v>58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527.86980821788188</v>
      </c>
      <c r="V73" s="57">
        <v>0</v>
      </c>
      <c r="W73" s="57">
        <v>4</v>
      </c>
      <c r="X73" s="61">
        <f t="shared" si="56"/>
        <v>54</v>
      </c>
      <c r="Y73" s="40">
        <f t="shared" si="66"/>
        <v>0</v>
      </c>
      <c r="Z73" s="40">
        <f t="shared" si="67"/>
        <v>-2111.4792328715275</v>
      </c>
      <c r="AA73" s="44">
        <f t="shared" si="68"/>
        <v>28504.96964376562</v>
      </c>
      <c r="AB73" s="35">
        <f t="shared" si="69"/>
        <v>54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572.45663200307376</v>
      </c>
      <c r="AD73" s="57">
        <v>0</v>
      </c>
      <c r="AE73" s="57">
        <v>5</v>
      </c>
      <c r="AF73" s="61">
        <f t="shared" si="57"/>
        <v>49</v>
      </c>
      <c r="AG73" s="40">
        <f t="shared" si="70"/>
        <v>0</v>
      </c>
      <c r="AH73" s="40">
        <f t="shared" si="71"/>
        <v>-2862.2831600153686</v>
      </c>
      <c r="AI73" s="44">
        <f t="shared" si="72"/>
        <v>28050.374968150616</v>
      </c>
      <c r="AJ73" s="35">
        <f t="shared" si="58"/>
        <v>49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619.64839949120756</v>
      </c>
      <c r="AL73" s="57">
        <v>0</v>
      </c>
      <c r="AM73" s="57">
        <v>3</v>
      </c>
      <c r="AN73" s="61">
        <f t="shared" si="59"/>
        <v>46</v>
      </c>
      <c r="AO73" s="40">
        <f t="shared" si="73"/>
        <v>0</v>
      </c>
      <c r="AP73" s="40">
        <f t="shared" si="74"/>
        <v>-1858.9451984736227</v>
      </c>
      <c r="AQ73" s="44">
        <f t="shared" si="75"/>
        <v>28503.826376595549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30</v>
      </c>
      <c r="G74" s="35">
        <f>SUMIFS(WORKING!$AC$3:$AC$6802,WORKING!$A$3:$A$6802,Results!$D$3,WORKING!$B$3:$B$6802,Results!A74,WORKING!$C$3:$C$6802,Results!C74)/1000</f>
        <v>21337.960119999989</v>
      </c>
      <c r="H74" s="35">
        <f t="shared" si="60"/>
        <v>711.26533733333292</v>
      </c>
      <c r="I74" s="187">
        <v>42</v>
      </c>
      <c r="J74" s="212">
        <v>29862</v>
      </c>
      <c r="K74" s="217">
        <f t="shared" si="61"/>
        <v>711</v>
      </c>
      <c r="L74" s="34">
        <f t="shared" si="54"/>
        <v>42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776.30657809901368</v>
      </c>
      <c r="N74" s="57">
        <v>0</v>
      </c>
      <c r="O74" s="57">
        <v>1</v>
      </c>
      <c r="P74" s="61">
        <f t="shared" si="55"/>
        <v>41</v>
      </c>
      <c r="Q74" s="40">
        <f t="shared" si="62"/>
        <v>0</v>
      </c>
      <c r="R74" s="40">
        <f t="shared" si="63"/>
        <v>-776.30657809901368</v>
      </c>
      <c r="S74" s="44">
        <f t="shared" si="64"/>
        <v>31828.569702059562</v>
      </c>
      <c r="T74" s="35">
        <f t="shared" si="65"/>
        <v>41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842.88521902732168</v>
      </c>
      <c r="V74" s="57">
        <v>0</v>
      </c>
      <c r="W74" s="57">
        <v>1</v>
      </c>
      <c r="X74" s="61">
        <f t="shared" si="56"/>
        <v>40</v>
      </c>
      <c r="Y74" s="40">
        <f t="shared" si="66"/>
        <v>0</v>
      </c>
      <c r="Z74" s="40">
        <f t="shared" si="67"/>
        <v>-842.88521902732168</v>
      </c>
      <c r="AA74" s="44">
        <f t="shared" si="68"/>
        <v>33715.408761092869</v>
      </c>
      <c r="AB74" s="35">
        <f t="shared" si="69"/>
        <v>40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914.31856354623574</v>
      </c>
      <c r="AD74" s="57">
        <v>0</v>
      </c>
      <c r="AE74" s="57">
        <v>3</v>
      </c>
      <c r="AF74" s="61">
        <f t="shared" si="57"/>
        <v>37</v>
      </c>
      <c r="AG74" s="40">
        <f t="shared" si="70"/>
        <v>0</v>
      </c>
      <c r="AH74" s="40">
        <f t="shared" si="71"/>
        <v>-2742.955690638707</v>
      </c>
      <c r="AI74" s="44">
        <f t="shared" si="72"/>
        <v>33829.786851210723</v>
      </c>
      <c r="AJ74" s="35">
        <f t="shared" si="58"/>
        <v>37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989.95020742557961</v>
      </c>
      <c r="AL74" s="57">
        <v>0</v>
      </c>
      <c r="AM74" s="57">
        <v>1</v>
      </c>
      <c r="AN74" s="61">
        <f t="shared" si="59"/>
        <v>36</v>
      </c>
      <c r="AO74" s="40">
        <f t="shared" si="73"/>
        <v>0</v>
      </c>
      <c r="AP74" s="40">
        <f t="shared" si="74"/>
        <v>-989.95020742557961</v>
      </c>
      <c r="AQ74" s="44">
        <f t="shared" si="75"/>
        <v>35638.207467320863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75</v>
      </c>
      <c r="G75" s="35">
        <f>SUMIFS(WORKING!$AC$3:$AC$6802,WORKING!$A$3:$A$6802,Results!$D$3,WORKING!$B$3:$B$6802,Results!A75,WORKING!$C$3:$C$6802,Results!C75)/1000</f>
        <v>56730.771420000012</v>
      </c>
      <c r="H75" s="35">
        <f t="shared" si="60"/>
        <v>756.41028560000018</v>
      </c>
      <c r="I75" s="187">
        <v>61</v>
      </c>
      <c r="J75" s="212">
        <v>46147</v>
      </c>
      <c r="K75" s="217">
        <f t="shared" si="61"/>
        <v>756.50819672131149</v>
      </c>
      <c r="L75" s="34">
        <f t="shared" si="54"/>
        <v>61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826.01898852201816</v>
      </c>
      <c r="N75" s="57">
        <v>1</v>
      </c>
      <c r="O75" s="57">
        <v>1</v>
      </c>
      <c r="P75" s="61">
        <f t="shared" si="55"/>
        <v>61</v>
      </c>
      <c r="Q75" s="40">
        <f t="shared" si="62"/>
        <v>826.01898852201816</v>
      </c>
      <c r="R75" s="40">
        <f t="shared" si="63"/>
        <v>-826.01898852201816</v>
      </c>
      <c r="S75" s="44">
        <f t="shared" si="64"/>
        <v>50387.158299843111</v>
      </c>
      <c r="T75" s="35">
        <f t="shared" si="65"/>
        <v>61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896.88741563687108</v>
      </c>
      <c r="V75" s="57">
        <v>0</v>
      </c>
      <c r="W75" s="57">
        <v>3</v>
      </c>
      <c r="X75" s="61">
        <f t="shared" si="56"/>
        <v>58</v>
      </c>
      <c r="Y75" s="40">
        <f t="shared" si="66"/>
        <v>0</v>
      </c>
      <c r="Z75" s="40">
        <f t="shared" si="67"/>
        <v>-2690.6622469106132</v>
      </c>
      <c r="AA75" s="44">
        <f t="shared" si="68"/>
        <v>52019.470106938519</v>
      </c>
      <c r="AB75" s="35">
        <f t="shared" si="69"/>
        <v>58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972.92588332480136</v>
      </c>
      <c r="AD75" s="57">
        <v>0</v>
      </c>
      <c r="AE75" s="57">
        <v>1</v>
      </c>
      <c r="AF75" s="61">
        <f t="shared" si="57"/>
        <v>57</v>
      </c>
      <c r="AG75" s="40">
        <f t="shared" si="70"/>
        <v>0</v>
      </c>
      <c r="AH75" s="40">
        <f t="shared" si="71"/>
        <v>-972.92588332480136</v>
      </c>
      <c r="AI75" s="44">
        <f t="shared" si="72"/>
        <v>55456.775349513679</v>
      </c>
      <c r="AJ75" s="35">
        <f t="shared" si="58"/>
        <v>57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1053.4363461021412</v>
      </c>
      <c r="AL75" s="57">
        <v>0</v>
      </c>
      <c r="AM75" s="57">
        <v>1</v>
      </c>
      <c r="AN75" s="61">
        <f t="shared" si="59"/>
        <v>56</v>
      </c>
      <c r="AO75" s="40">
        <f t="shared" si="73"/>
        <v>0</v>
      </c>
      <c r="AP75" s="40">
        <f t="shared" si="74"/>
        <v>-1053.4363461021412</v>
      </c>
      <c r="AQ75" s="44">
        <f t="shared" si="75"/>
        <v>58992.435381719908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45</v>
      </c>
      <c r="G76" s="35">
        <f>SUMIFS(WORKING!$AC$3:$AC$6802,WORKING!$A$3:$A$6802,Results!$D$3,WORKING!$B$3:$B$6802,Results!A76,WORKING!$C$3:$C$6802,Results!C76)/1000</f>
        <v>44344.444969999997</v>
      </c>
      <c r="H76" s="35">
        <f t="shared" si="60"/>
        <v>985.43211044444433</v>
      </c>
      <c r="I76" s="187">
        <v>44</v>
      </c>
      <c r="J76" s="212">
        <v>42916</v>
      </c>
      <c r="K76" s="217">
        <f t="shared" si="61"/>
        <v>975.36363636363637</v>
      </c>
      <c r="L76" s="34">
        <f t="shared" si="54"/>
        <v>44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1022.3704343589362</v>
      </c>
      <c r="N76" s="57">
        <v>1</v>
      </c>
      <c r="O76" s="57">
        <v>1</v>
      </c>
      <c r="P76" s="61">
        <f t="shared" si="55"/>
        <v>44</v>
      </c>
      <c r="Q76" s="40">
        <f t="shared" si="62"/>
        <v>1022.3704343589362</v>
      </c>
      <c r="R76" s="40">
        <f t="shared" si="63"/>
        <v>-1022.3704343589362</v>
      </c>
      <c r="S76" s="44">
        <f t="shared" si="64"/>
        <v>44984.299111793196</v>
      </c>
      <c r="T76" s="35">
        <f t="shared" si="65"/>
        <v>44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1099.6527056477221</v>
      </c>
      <c r="V76" s="57">
        <v>0</v>
      </c>
      <c r="W76" s="57">
        <v>4</v>
      </c>
      <c r="X76" s="61">
        <f t="shared" si="56"/>
        <v>40</v>
      </c>
      <c r="Y76" s="40">
        <f t="shared" si="66"/>
        <v>0</v>
      </c>
      <c r="Z76" s="40">
        <f t="shared" si="67"/>
        <v>-4398.6108225908883</v>
      </c>
      <c r="AA76" s="44">
        <f t="shared" si="68"/>
        <v>43986.108225908887</v>
      </c>
      <c r="AB76" s="35">
        <f t="shared" si="69"/>
        <v>40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1181.6610141388981</v>
      </c>
      <c r="AD76" s="57">
        <v>0</v>
      </c>
      <c r="AE76" s="57">
        <v>5</v>
      </c>
      <c r="AF76" s="61">
        <f t="shared" si="57"/>
        <v>35</v>
      </c>
      <c r="AG76" s="40">
        <f t="shared" si="70"/>
        <v>0</v>
      </c>
      <c r="AH76" s="40">
        <f t="shared" si="71"/>
        <v>-5908.3050706944905</v>
      </c>
      <c r="AI76" s="44">
        <f t="shared" si="72"/>
        <v>41358.135494861432</v>
      </c>
      <c r="AJ76" s="35">
        <f t="shared" si="58"/>
        <v>35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1267.3871360981207</v>
      </c>
      <c r="AL76" s="57">
        <v>0</v>
      </c>
      <c r="AM76" s="57">
        <v>3</v>
      </c>
      <c r="AN76" s="61">
        <f t="shared" si="59"/>
        <v>32</v>
      </c>
      <c r="AO76" s="40">
        <f t="shared" si="73"/>
        <v>0</v>
      </c>
      <c r="AP76" s="40">
        <f t="shared" si="74"/>
        <v>-3802.161408294362</v>
      </c>
      <c r="AQ76" s="44">
        <f t="shared" si="75"/>
        <v>40556.388355139861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15</v>
      </c>
      <c r="G77" s="35">
        <f>SUMIFS(WORKING!$AC$3:$AC$6802,WORKING!$A$3:$A$6802,Results!$D$3,WORKING!$B$3:$B$6802,Results!A77,WORKING!$C$3:$C$6802,Results!C77)/1000</f>
        <v>17939.713170000003</v>
      </c>
      <c r="H77" s="35">
        <f t="shared" si="60"/>
        <v>1195.9808780000001</v>
      </c>
      <c r="I77" s="187">
        <v>15</v>
      </c>
      <c r="J77" s="212" t="s">
        <v>754</v>
      </c>
      <c r="K77" s="217">
        <f t="shared" si="61"/>
        <v>1195.9808780000001</v>
      </c>
      <c r="L77" s="34">
        <f t="shared" si="54"/>
        <v>15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1253.7844114755801</v>
      </c>
      <c r="N77" s="57">
        <v>0</v>
      </c>
      <c r="O77" s="57">
        <v>5</v>
      </c>
      <c r="P77" s="61">
        <f t="shared" si="55"/>
        <v>10</v>
      </c>
      <c r="Q77" s="40">
        <f t="shared" si="62"/>
        <v>0</v>
      </c>
      <c r="R77" s="40">
        <f t="shared" si="63"/>
        <v>-6268.9220573779003</v>
      </c>
      <c r="S77" s="44">
        <f t="shared" si="64"/>
        <v>12537.844114755801</v>
      </c>
      <c r="T77" s="35">
        <f t="shared" si="65"/>
        <v>10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1348.7362789724236</v>
      </c>
      <c r="V77" s="57">
        <v>0</v>
      </c>
      <c r="W77" s="57">
        <v>1</v>
      </c>
      <c r="X77" s="61">
        <f t="shared" si="56"/>
        <v>9</v>
      </c>
      <c r="Y77" s="40">
        <f t="shared" si="66"/>
        <v>0</v>
      </c>
      <c r="Z77" s="40">
        <f t="shared" si="67"/>
        <v>-1348.7362789724236</v>
      </c>
      <c r="AA77" s="44">
        <f t="shared" si="68"/>
        <v>12138.626510751812</v>
      </c>
      <c r="AB77" s="35">
        <f t="shared" si="69"/>
        <v>9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1449.5103076455746</v>
      </c>
      <c r="AD77" s="57">
        <v>0</v>
      </c>
      <c r="AE77" s="57">
        <v>0</v>
      </c>
      <c r="AF77" s="61">
        <f t="shared" si="57"/>
        <v>9</v>
      </c>
      <c r="AG77" s="40">
        <f t="shared" si="70"/>
        <v>0</v>
      </c>
      <c r="AH77" s="40">
        <f t="shared" si="71"/>
        <v>0</v>
      </c>
      <c r="AI77" s="44">
        <f t="shared" si="72"/>
        <v>13045.592768810171</v>
      </c>
      <c r="AJ77" s="35">
        <f t="shared" si="58"/>
        <v>9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1554.8718597482248</v>
      </c>
      <c r="AL77" s="57">
        <v>0</v>
      </c>
      <c r="AM77" s="57">
        <v>1</v>
      </c>
      <c r="AN77" s="61">
        <f t="shared" si="59"/>
        <v>8</v>
      </c>
      <c r="AO77" s="40">
        <f t="shared" si="73"/>
        <v>0</v>
      </c>
      <c r="AP77" s="40">
        <f t="shared" si="74"/>
        <v>-1554.8718597482248</v>
      </c>
      <c r="AQ77" s="44">
        <f t="shared" si="75"/>
        <v>12438.974877985798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6</v>
      </c>
      <c r="G78" s="35">
        <f>SUMIFS(WORKING!$AC$3:$AC$6802,WORKING!$A$3:$A$6802,Results!$D$3,WORKING!$B$3:$B$6802,Results!A78,WORKING!$C$3:$C$6802,Results!C78)/1000</f>
        <v>9227.1183499999988</v>
      </c>
      <c r="H78" s="35">
        <f t="shared" si="60"/>
        <v>1537.8530583333331</v>
      </c>
      <c r="I78" s="187">
        <v>6</v>
      </c>
      <c r="J78" s="212" t="s">
        <v>754</v>
      </c>
      <c r="K78" s="217">
        <f t="shared" si="61"/>
        <v>1537.8530583333331</v>
      </c>
      <c r="L78" s="34">
        <f t="shared" si="54"/>
        <v>6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1612.044468293308</v>
      </c>
      <c r="N78" s="57">
        <v>0</v>
      </c>
      <c r="O78" s="57">
        <v>0</v>
      </c>
      <c r="P78" s="61">
        <f t="shared" si="55"/>
        <v>6</v>
      </c>
      <c r="Q78" s="40">
        <f t="shared" si="62"/>
        <v>0</v>
      </c>
      <c r="R78" s="40">
        <f t="shared" si="63"/>
        <v>0</v>
      </c>
      <c r="S78" s="44">
        <f t="shared" si="64"/>
        <v>9672.2668097598471</v>
      </c>
      <c r="T78" s="35">
        <f t="shared" si="65"/>
        <v>6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1733.9826129956066</v>
      </c>
      <c r="V78" s="57">
        <v>0</v>
      </c>
      <c r="W78" s="57">
        <v>0</v>
      </c>
      <c r="X78" s="61">
        <f t="shared" si="56"/>
        <v>6</v>
      </c>
      <c r="Y78" s="40">
        <f t="shared" si="66"/>
        <v>0</v>
      </c>
      <c r="Z78" s="40">
        <f t="shared" si="67"/>
        <v>0</v>
      </c>
      <c r="AA78" s="44">
        <f t="shared" si="68"/>
        <v>10403.89567797364</v>
      </c>
      <c r="AB78" s="35">
        <f t="shared" si="69"/>
        <v>6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1863.384823355331</v>
      </c>
      <c r="AD78" s="57">
        <v>0</v>
      </c>
      <c r="AE78" s="57">
        <v>0</v>
      </c>
      <c r="AF78" s="61">
        <f t="shared" si="57"/>
        <v>6</v>
      </c>
      <c r="AG78" s="40">
        <f t="shared" si="70"/>
        <v>0</v>
      </c>
      <c r="AH78" s="40">
        <f t="shared" si="71"/>
        <v>0</v>
      </c>
      <c r="AI78" s="44">
        <f t="shared" si="72"/>
        <v>11180.308940131987</v>
      </c>
      <c r="AJ78" s="35">
        <f t="shared" si="58"/>
        <v>6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1998.6621902604118</v>
      </c>
      <c r="AL78" s="57">
        <v>0</v>
      </c>
      <c r="AM78" s="57">
        <v>0</v>
      </c>
      <c r="AN78" s="61">
        <f t="shared" si="59"/>
        <v>6</v>
      </c>
      <c r="AO78" s="40">
        <f t="shared" si="73"/>
        <v>0</v>
      </c>
      <c r="AP78" s="40">
        <f t="shared" si="74"/>
        <v>0</v>
      </c>
      <c r="AQ78" s="44">
        <f t="shared" si="75"/>
        <v>11991.97314156247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7401.1063899999999</v>
      </c>
      <c r="H79" s="35">
        <f t="shared" si="60"/>
        <v>2467.0354633333332</v>
      </c>
      <c r="I79" s="187">
        <v>1</v>
      </c>
      <c r="J79" s="212">
        <v>2787</v>
      </c>
      <c r="K79" s="217">
        <f t="shared" si="61"/>
        <v>2787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2921.7557982573512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2921.7557982573512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3143.0870131479201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3143.0870131479201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3377.9948928602489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3377.9948928602489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3623.6029144044687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3623.6029144044687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2236</v>
      </c>
      <c r="K80" s="217">
        <f t="shared" si="61"/>
        <v>2236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2309.788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2309.788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2448.3752800000002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2448.3752800000002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2592.8294215199999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2592.8294215199999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2740.6206985466397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2740.6206985466397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2378</v>
      </c>
      <c r="K81" s="217">
        <f t="shared" ref="K81:K83" si="77">IFERROR(IF(J81="",G81,J81)/IF(I81="",F81,I81),"")</f>
        <v>2378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2456.4739999999997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2456.4739999999997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2603.8624399999999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2603.8624399999999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2757.4903239599998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2757.4903239599998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2914.6672724257196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2914.6672724257196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519</v>
      </c>
      <c r="G84" s="41">
        <f>SUM(G64:G83)</f>
        <v>267630.21807</v>
      </c>
      <c r="H84" s="41">
        <f>IFERROR(G84/F84,0)</f>
        <v>515.66516005780352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517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264725.55905000004</v>
      </c>
      <c r="K84" s="41">
        <f>IFERROR(J84/I84,"")</f>
        <v>512.04170029013551</v>
      </c>
      <c r="L84" s="41">
        <f>SUM(L64:L83)</f>
        <v>517</v>
      </c>
      <c r="M84" s="41">
        <f>IFERROR(S84/P84,0)</f>
        <v>549.49580273557149</v>
      </c>
      <c r="N84" s="41">
        <f t="shared" ref="N84:T84" si="98">SUM(N64:N83)</f>
        <v>2</v>
      </c>
      <c r="O84" s="41">
        <f t="shared" si="98"/>
        <v>29</v>
      </c>
      <c r="P84" s="41">
        <f t="shared" si="98"/>
        <v>490</v>
      </c>
      <c r="Q84" s="41">
        <f t="shared" si="98"/>
        <v>1848.3894228809545</v>
      </c>
      <c r="R84" s="41">
        <f t="shared" si="98"/>
        <v>-15874.752728350191</v>
      </c>
      <c r="S84" s="45">
        <f t="shared" si="98"/>
        <v>269252.94334043004</v>
      </c>
      <c r="T84" s="41">
        <f t="shared" si="98"/>
        <v>490</v>
      </c>
      <c r="U84" s="41">
        <f>IFERROR(AA84/X84,0)</f>
        <v>592.35914724018937</v>
      </c>
      <c r="V84" s="41">
        <f t="shared" ref="V84:AB84" si="99">SUM(V64:V83)</f>
        <v>0</v>
      </c>
      <c r="W84" s="41">
        <f t="shared" si="99"/>
        <v>25</v>
      </c>
      <c r="X84" s="41">
        <f t="shared" si="99"/>
        <v>465</v>
      </c>
      <c r="Y84" s="41">
        <f t="shared" si="99"/>
        <v>0</v>
      </c>
      <c r="Z84" s="41">
        <f t="shared" si="99"/>
        <v>-15996.189126690921</v>
      </c>
      <c r="AA84" s="45">
        <f t="shared" si="99"/>
        <v>275447.00346668804</v>
      </c>
      <c r="AB84" s="41">
        <f t="shared" si="99"/>
        <v>465</v>
      </c>
      <c r="AC84" s="41">
        <f>IFERROR(AI84/AF84,0)</f>
        <v>640.52925353262731</v>
      </c>
      <c r="AD84" s="41">
        <f t="shared" ref="AD84:AJ84" si="100">SUM(AD64:AD83)</f>
        <v>0</v>
      </c>
      <c r="AE84" s="41">
        <f t="shared" si="100"/>
        <v>29</v>
      </c>
      <c r="AF84" s="41">
        <f t="shared" si="100"/>
        <v>436</v>
      </c>
      <c r="AG84" s="41">
        <f t="shared" si="100"/>
        <v>0</v>
      </c>
      <c r="AH84" s="41">
        <f t="shared" si="100"/>
        <v>-18613.189105769728</v>
      </c>
      <c r="AI84" s="45">
        <f t="shared" si="100"/>
        <v>279270.75454022549</v>
      </c>
      <c r="AJ84" s="41">
        <f t="shared" si="100"/>
        <v>436</v>
      </c>
      <c r="AK84" s="41">
        <f>IFERROR(AQ84/AN84,0)</f>
        <v>692.7249813936462</v>
      </c>
      <c r="AL84" s="41">
        <f t="shared" ref="AL84:AQ84" si="101">SUM(AL64:AL83)</f>
        <v>0</v>
      </c>
      <c r="AM84" s="41">
        <f t="shared" si="101"/>
        <v>22</v>
      </c>
      <c r="AN84" s="41">
        <f t="shared" si="101"/>
        <v>414</v>
      </c>
      <c r="AO84" s="41">
        <f t="shared" si="101"/>
        <v>0</v>
      </c>
      <c r="AP84" s="41">
        <f t="shared" si="101"/>
        <v>-14676.048870351515</v>
      </c>
      <c r="AQ84" s="45">
        <f t="shared" si="101"/>
        <v>286788.14229696954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310050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302468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320011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344331.83600000001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40797.056659569964</v>
      </c>
      <c r="T86" s="39"/>
      <c r="U86" s="39"/>
      <c r="V86" s="53"/>
      <c r="W86" s="53"/>
      <c r="X86" s="110"/>
      <c r="Y86" s="39"/>
      <c r="Z86" s="39"/>
      <c r="AA86" s="54">
        <f>AA85-AA84</f>
        <v>27020.996533311962</v>
      </c>
      <c r="AB86" s="39"/>
      <c r="AC86" s="53"/>
      <c r="AD86" s="53"/>
      <c r="AE86" s="110"/>
      <c r="AF86" s="39"/>
      <c r="AG86" s="39"/>
      <c r="AH86" s="39"/>
      <c r="AI86" s="54">
        <f>AI85-AI84</f>
        <v>40740.245459774509</v>
      </c>
      <c r="AJ86" s="53"/>
      <c r="AK86" s="53"/>
      <c r="AL86" s="110"/>
      <c r="AM86" s="110"/>
      <c r="AN86" s="110"/>
      <c r="AO86" s="110"/>
      <c r="AP86" s="111"/>
      <c r="AQ86" s="54">
        <f>AQ85-AQ84</f>
        <v>57543.693703030469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International Trade and Economic Development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0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</v>
      </c>
      <c r="G97" s="35">
        <f>SUMIFS(WORKING!$AC$3:$AC$6802,WORKING!$A$3:$A$6802,Results!$D$3,WORKING!$B$3:$B$6802,Results!A97,WORKING!$C$3:$C$6802,Results!C97)/1000</f>
        <v>220.24744999999999</v>
      </c>
      <c r="H97" s="35">
        <f t="shared" si="108"/>
        <v>220.24744999999999</v>
      </c>
      <c r="I97" s="187">
        <v>1</v>
      </c>
      <c r="J97" s="212">
        <v>241</v>
      </c>
      <c r="K97" s="217">
        <f t="shared" si="109"/>
        <v>241</v>
      </c>
      <c r="L97" s="34">
        <f t="shared" si="102"/>
        <v>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261.8276078732921</v>
      </c>
      <c r="N97" s="57">
        <v>0</v>
      </c>
      <c r="O97" s="57">
        <v>0</v>
      </c>
      <c r="P97" s="61">
        <f t="shared" si="103"/>
        <v>1</v>
      </c>
      <c r="Q97" s="40">
        <f t="shared" si="110"/>
        <v>0</v>
      </c>
      <c r="R97" s="40">
        <f t="shared" si="111"/>
        <v>0</v>
      </c>
      <c r="S97" s="44">
        <f t="shared" si="112"/>
        <v>261.8276078732921</v>
      </c>
      <c r="T97" s="35">
        <f t="shared" si="113"/>
        <v>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283.93621256167307</v>
      </c>
      <c r="V97" s="57">
        <v>0</v>
      </c>
      <c r="W97" s="57">
        <v>0</v>
      </c>
      <c r="X97" s="61">
        <f t="shared" si="104"/>
        <v>1</v>
      </c>
      <c r="Y97" s="40">
        <f t="shared" si="114"/>
        <v>0</v>
      </c>
      <c r="Z97" s="40">
        <f t="shared" si="115"/>
        <v>0</v>
      </c>
      <c r="AA97" s="44">
        <f t="shared" si="116"/>
        <v>283.93621256167307</v>
      </c>
      <c r="AB97" s="35">
        <f t="shared" si="117"/>
        <v>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307.62372497598062</v>
      </c>
      <c r="AD97" s="57">
        <v>0</v>
      </c>
      <c r="AE97" s="57">
        <v>0</v>
      </c>
      <c r="AF97" s="61">
        <f t="shared" si="105"/>
        <v>1</v>
      </c>
      <c r="AG97" s="40">
        <f t="shared" si="118"/>
        <v>0</v>
      </c>
      <c r="AH97" s="40">
        <f t="shared" si="119"/>
        <v>0</v>
      </c>
      <c r="AI97" s="44">
        <f t="shared" si="120"/>
        <v>307.62372497598062</v>
      </c>
      <c r="AJ97" s="35">
        <f t="shared" si="106"/>
        <v>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332.66347172335884</v>
      </c>
      <c r="AL97" s="57">
        <v>0</v>
      </c>
      <c r="AM97" s="57">
        <v>0</v>
      </c>
      <c r="AN97" s="61">
        <f t="shared" si="107"/>
        <v>1</v>
      </c>
      <c r="AO97" s="40">
        <f t="shared" si="121"/>
        <v>0</v>
      </c>
      <c r="AP97" s="40">
        <f t="shared" si="122"/>
        <v>0</v>
      </c>
      <c r="AQ97" s="44">
        <f t="shared" si="123"/>
        <v>332.66347172335884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14</v>
      </c>
      <c r="G98" s="35">
        <f>SUMIFS(WORKING!$AC$3:$AC$6802,WORKING!$A$3:$A$6802,Results!$D$3,WORKING!$B$3:$B$6802,Results!A98,WORKING!$C$3:$C$6802,Results!C98)/1000</f>
        <v>4776.0014000000001</v>
      </c>
      <c r="H98" s="35">
        <f t="shared" si="108"/>
        <v>341.14295714285714</v>
      </c>
      <c r="I98" s="187">
        <v>12</v>
      </c>
      <c r="J98" s="212">
        <v>3707</v>
      </c>
      <c r="K98" s="217">
        <f t="shared" si="109"/>
        <v>308.91666666666669</v>
      </c>
      <c r="L98" s="34">
        <f t="shared" si="102"/>
        <v>12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336.16425412609016</v>
      </c>
      <c r="N98" s="57">
        <v>0</v>
      </c>
      <c r="O98" s="57">
        <v>3</v>
      </c>
      <c r="P98" s="61">
        <f t="shared" si="103"/>
        <v>9</v>
      </c>
      <c r="Q98" s="40">
        <f t="shared" si="110"/>
        <v>0</v>
      </c>
      <c r="R98" s="40">
        <f t="shared" si="111"/>
        <v>-1008.4927623782705</v>
      </c>
      <c r="S98" s="44">
        <f t="shared" si="112"/>
        <v>3025.4782871348116</v>
      </c>
      <c r="T98" s="35">
        <f t="shared" si="113"/>
        <v>9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364.71422583706658</v>
      </c>
      <c r="V98" s="57">
        <v>0</v>
      </c>
      <c r="W98" s="57">
        <v>2</v>
      </c>
      <c r="X98" s="61">
        <f t="shared" si="104"/>
        <v>7</v>
      </c>
      <c r="Y98" s="40">
        <f t="shared" si="114"/>
        <v>0</v>
      </c>
      <c r="Z98" s="40">
        <f t="shared" si="115"/>
        <v>-729.42845167413316</v>
      </c>
      <c r="AA98" s="44">
        <f t="shared" si="116"/>
        <v>2552.9995808594658</v>
      </c>
      <c r="AB98" s="35">
        <f t="shared" si="117"/>
        <v>7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395.31917727366914</v>
      </c>
      <c r="AD98" s="57">
        <v>0</v>
      </c>
      <c r="AE98" s="57">
        <v>1</v>
      </c>
      <c r="AF98" s="61">
        <f t="shared" si="105"/>
        <v>6</v>
      </c>
      <c r="AG98" s="40">
        <f t="shared" si="118"/>
        <v>0</v>
      </c>
      <c r="AH98" s="40">
        <f t="shared" si="119"/>
        <v>-395.31917727366914</v>
      </c>
      <c r="AI98" s="44">
        <f t="shared" si="120"/>
        <v>2371.915063642015</v>
      </c>
      <c r="AJ98" s="35">
        <f t="shared" si="106"/>
        <v>6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427.69082696097587</v>
      </c>
      <c r="AL98" s="57">
        <v>0</v>
      </c>
      <c r="AM98" s="57">
        <v>0</v>
      </c>
      <c r="AN98" s="61">
        <f t="shared" si="107"/>
        <v>6</v>
      </c>
      <c r="AO98" s="40">
        <f t="shared" si="121"/>
        <v>0</v>
      </c>
      <c r="AP98" s="40">
        <f t="shared" si="122"/>
        <v>0</v>
      </c>
      <c r="AQ98" s="44">
        <f t="shared" si="123"/>
        <v>2566.1449617658554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7</v>
      </c>
      <c r="G99" s="35">
        <f>SUMIFS(WORKING!$AC$3:$AC$6802,WORKING!$A$3:$A$6802,Results!$D$3,WORKING!$B$3:$B$6802,Results!A99,WORKING!$C$3:$C$6802,Results!C99)/1000</f>
        <v>2371.21666</v>
      </c>
      <c r="H99" s="35">
        <f t="shared" si="108"/>
        <v>338.74523714285715</v>
      </c>
      <c r="I99" s="187">
        <v>6</v>
      </c>
      <c r="J99" s="212">
        <v>2272</v>
      </c>
      <c r="K99" s="217">
        <f t="shared" si="109"/>
        <v>378.66666666666669</v>
      </c>
      <c r="L99" s="34">
        <f t="shared" si="102"/>
        <v>6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412.40900847455771</v>
      </c>
      <c r="N99" s="57">
        <v>0</v>
      </c>
      <c r="O99" s="57">
        <v>0</v>
      </c>
      <c r="P99" s="61">
        <f t="shared" si="103"/>
        <v>6</v>
      </c>
      <c r="Q99" s="40">
        <f t="shared" si="110"/>
        <v>0</v>
      </c>
      <c r="R99" s="40">
        <f t="shared" si="111"/>
        <v>0</v>
      </c>
      <c r="S99" s="44">
        <f t="shared" si="112"/>
        <v>2474.4540508473465</v>
      </c>
      <c r="T99" s="35">
        <f t="shared" si="113"/>
        <v>6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447.53944729280471</v>
      </c>
      <c r="V99" s="57">
        <v>0</v>
      </c>
      <c r="W99" s="57">
        <v>1</v>
      </c>
      <c r="X99" s="61">
        <f t="shared" si="104"/>
        <v>5</v>
      </c>
      <c r="Y99" s="40">
        <f t="shared" si="114"/>
        <v>0</v>
      </c>
      <c r="Z99" s="40">
        <f t="shared" si="115"/>
        <v>-447.53944729280471</v>
      </c>
      <c r="AA99" s="44">
        <f t="shared" si="116"/>
        <v>2237.6972364640237</v>
      </c>
      <c r="AB99" s="35">
        <f t="shared" si="117"/>
        <v>5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485.20865903759289</v>
      </c>
      <c r="AD99" s="57">
        <v>0</v>
      </c>
      <c r="AE99" s="57">
        <v>0</v>
      </c>
      <c r="AF99" s="61">
        <f t="shared" si="105"/>
        <v>5</v>
      </c>
      <c r="AG99" s="40">
        <f t="shared" si="118"/>
        <v>0</v>
      </c>
      <c r="AH99" s="40">
        <f t="shared" si="119"/>
        <v>0</v>
      </c>
      <c r="AI99" s="44">
        <f t="shared" si="120"/>
        <v>2426.0432951879643</v>
      </c>
      <c r="AJ99" s="35">
        <f t="shared" si="106"/>
        <v>5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525.0645662781094</v>
      </c>
      <c r="AL99" s="57">
        <v>0</v>
      </c>
      <c r="AM99" s="57">
        <v>0</v>
      </c>
      <c r="AN99" s="61">
        <f t="shared" si="107"/>
        <v>5</v>
      </c>
      <c r="AO99" s="40">
        <f t="shared" si="121"/>
        <v>0</v>
      </c>
      <c r="AP99" s="40">
        <f t="shared" si="122"/>
        <v>0</v>
      </c>
      <c r="AQ99" s="44">
        <f t="shared" si="123"/>
        <v>2625.322831390547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</v>
      </c>
      <c r="G100" s="35">
        <f>SUMIFS(WORKING!$AC$3:$AC$6802,WORKING!$A$3:$A$6802,Results!$D$3,WORKING!$B$3:$B$6802,Results!A100,WORKING!$C$3:$C$6802,Results!C100)/1000</f>
        <v>440.66168000000005</v>
      </c>
      <c r="H100" s="35">
        <f t="shared" si="108"/>
        <v>440.66168000000005</v>
      </c>
      <c r="I100" s="187">
        <v>1</v>
      </c>
      <c r="J100" s="212">
        <v>467</v>
      </c>
      <c r="K100" s="217">
        <f t="shared" si="109"/>
        <v>467</v>
      </c>
      <c r="L100" s="34">
        <f t="shared" si="102"/>
        <v>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508.6586711516062</v>
      </c>
      <c r="N100" s="57">
        <v>0</v>
      </c>
      <c r="O100" s="57">
        <v>0</v>
      </c>
      <c r="P100" s="61">
        <f t="shared" si="103"/>
        <v>1</v>
      </c>
      <c r="Q100" s="40">
        <f t="shared" si="110"/>
        <v>0</v>
      </c>
      <c r="R100" s="40">
        <f t="shared" si="111"/>
        <v>0</v>
      </c>
      <c r="S100" s="44">
        <f t="shared" si="112"/>
        <v>508.6586711516062</v>
      </c>
      <c r="T100" s="35">
        <f t="shared" si="113"/>
        <v>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552.00233205507379</v>
      </c>
      <c r="V100" s="57">
        <v>0</v>
      </c>
      <c r="W100" s="57">
        <v>0</v>
      </c>
      <c r="X100" s="61">
        <f t="shared" si="104"/>
        <v>1</v>
      </c>
      <c r="Y100" s="40">
        <f t="shared" si="114"/>
        <v>0</v>
      </c>
      <c r="Z100" s="40">
        <f t="shared" si="115"/>
        <v>0</v>
      </c>
      <c r="AA100" s="44">
        <f t="shared" si="116"/>
        <v>552.00233205507379</v>
      </c>
      <c r="AB100" s="35">
        <f t="shared" si="117"/>
        <v>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598.47968107549593</v>
      </c>
      <c r="AD100" s="57">
        <v>0</v>
      </c>
      <c r="AE100" s="57">
        <v>0</v>
      </c>
      <c r="AF100" s="61">
        <f t="shared" si="105"/>
        <v>1</v>
      </c>
      <c r="AG100" s="40">
        <f t="shared" si="118"/>
        <v>0</v>
      </c>
      <c r="AH100" s="40">
        <f t="shared" si="119"/>
        <v>0</v>
      </c>
      <c r="AI100" s="44">
        <f t="shared" si="120"/>
        <v>598.47968107549593</v>
      </c>
      <c r="AJ100" s="35">
        <f t="shared" si="106"/>
        <v>1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647.65667096432946</v>
      </c>
      <c r="AL100" s="57">
        <v>0</v>
      </c>
      <c r="AM100" s="57">
        <v>0</v>
      </c>
      <c r="AN100" s="61">
        <f t="shared" si="107"/>
        <v>1</v>
      </c>
      <c r="AO100" s="40">
        <f t="shared" si="121"/>
        <v>0</v>
      </c>
      <c r="AP100" s="40">
        <f t="shared" si="122"/>
        <v>0</v>
      </c>
      <c r="AQ100" s="44">
        <f t="shared" si="123"/>
        <v>647.65667096432946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39</v>
      </c>
      <c r="G101" s="35">
        <f>SUMIFS(WORKING!$AC$3:$AC$6802,WORKING!$A$3:$A$6802,Results!$D$3,WORKING!$B$3:$B$6802,Results!A101,WORKING!$C$3:$C$6802,Results!C101)/1000</f>
        <v>17181.89834</v>
      </c>
      <c r="H101" s="35">
        <f t="shared" si="108"/>
        <v>440.56149589743592</v>
      </c>
      <c r="I101" s="187">
        <v>30</v>
      </c>
      <c r="J101" s="212">
        <v>16556</v>
      </c>
      <c r="K101" s="217">
        <f t="shared" si="109"/>
        <v>551.86666666666667</v>
      </c>
      <c r="L101" s="34">
        <f t="shared" si="102"/>
        <v>30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601.56266699930586</v>
      </c>
      <c r="N101" s="57">
        <v>0</v>
      </c>
      <c r="O101" s="57">
        <v>3</v>
      </c>
      <c r="P101" s="61">
        <f t="shared" si="103"/>
        <v>27</v>
      </c>
      <c r="Q101" s="40">
        <f t="shared" si="110"/>
        <v>0</v>
      </c>
      <c r="R101" s="40">
        <f t="shared" si="111"/>
        <v>-1804.6880009979177</v>
      </c>
      <c r="S101" s="44">
        <f t="shared" si="112"/>
        <v>16242.192008981257</v>
      </c>
      <c r="T101" s="35">
        <f t="shared" si="113"/>
        <v>27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652.96793898410897</v>
      </c>
      <c r="V101" s="57">
        <v>0</v>
      </c>
      <c r="W101" s="57">
        <v>4</v>
      </c>
      <c r="X101" s="61">
        <f t="shared" si="104"/>
        <v>23</v>
      </c>
      <c r="Y101" s="40">
        <f t="shared" si="114"/>
        <v>0</v>
      </c>
      <c r="Z101" s="40">
        <f t="shared" si="115"/>
        <v>-2611.8717559364359</v>
      </c>
      <c r="AA101" s="44">
        <f t="shared" si="116"/>
        <v>15018.262596634506</v>
      </c>
      <c r="AB101" s="35">
        <f t="shared" si="117"/>
        <v>23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708.10367591074703</v>
      </c>
      <c r="AD101" s="57">
        <v>0</v>
      </c>
      <c r="AE101" s="57">
        <v>3</v>
      </c>
      <c r="AF101" s="61">
        <f t="shared" si="105"/>
        <v>20</v>
      </c>
      <c r="AG101" s="40">
        <f t="shared" si="118"/>
        <v>0</v>
      </c>
      <c r="AH101" s="40">
        <f t="shared" si="119"/>
        <v>-2124.3110277322412</v>
      </c>
      <c r="AI101" s="44">
        <f t="shared" si="120"/>
        <v>14162.07351821494</v>
      </c>
      <c r="AJ101" s="35">
        <f t="shared" si="106"/>
        <v>20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766.45863023892923</v>
      </c>
      <c r="AL101" s="57">
        <v>0</v>
      </c>
      <c r="AM101" s="57">
        <v>5</v>
      </c>
      <c r="AN101" s="61">
        <f t="shared" si="107"/>
        <v>15</v>
      </c>
      <c r="AO101" s="40">
        <f t="shared" si="121"/>
        <v>0</v>
      </c>
      <c r="AP101" s="40">
        <f t="shared" si="122"/>
        <v>-3832.2931511946463</v>
      </c>
      <c r="AQ101" s="44">
        <f t="shared" si="123"/>
        <v>11496.879453583939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1098.77576</v>
      </c>
      <c r="H102" s="35">
        <f t="shared" si="108"/>
        <v>1098.77576</v>
      </c>
      <c r="I102" s="187">
        <v>2</v>
      </c>
      <c r="J102" s="212">
        <v>701</v>
      </c>
      <c r="K102" s="217">
        <f t="shared" si="109"/>
        <v>350.5</v>
      </c>
      <c r="L102" s="34">
        <f t="shared" si="102"/>
        <v>2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382.79446968245935</v>
      </c>
      <c r="N102" s="57">
        <v>0</v>
      </c>
      <c r="O102" s="57">
        <v>0</v>
      </c>
      <c r="P102" s="61">
        <f t="shared" si="103"/>
        <v>2</v>
      </c>
      <c r="Q102" s="40">
        <f t="shared" si="110"/>
        <v>0</v>
      </c>
      <c r="R102" s="40">
        <f t="shared" si="111"/>
        <v>0</v>
      </c>
      <c r="S102" s="44">
        <f t="shared" si="112"/>
        <v>765.5889393649187</v>
      </c>
      <c r="T102" s="35">
        <f t="shared" si="113"/>
        <v>2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415.73328182479241</v>
      </c>
      <c r="V102" s="57">
        <v>0</v>
      </c>
      <c r="W102" s="57">
        <v>0</v>
      </c>
      <c r="X102" s="61">
        <f t="shared" si="104"/>
        <v>2</v>
      </c>
      <c r="Y102" s="40">
        <f t="shared" si="114"/>
        <v>0</v>
      </c>
      <c r="Z102" s="40">
        <f t="shared" si="115"/>
        <v>0</v>
      </c>
      <c r="AA102" s="44">
        <f t="shared" si="116"/>
        <v>831.46656364958483</v>
      </c>
      <c r="AB102" s="35">
        <f t="shared" si="117"/>
        <v>2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451.08445403143475</v>
      </c>
      <c r="AD102" s="57">
        <v>0</v>
      </c>
      <c r="AE102" s="57">
        <v>0</v>
      </c>
      <c r="AF102" s="61">
        <f t="shared" si="105"/>
        <v>2</v>
      </c>
      <c r="AG102" s="40">
        <f t="shared" si="118"/>
        <v>0</v>
      </c>
      <c r="AH102" s="40">
        <f t="shared" si="119"/>
        <v>0</v>
      </c>
      <c r="AI102" s="44">
        <f t="shared" si="120"/>
        <v>902.16890806286949</v>
      </c>
      <c r="AJ102" s="35">
        <f t="shared" si="106"/>
        <v>2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488.52595300734316</v>
      </c>
      <c r="AL102" s="57">
        <v>0</v>
      </c>
      <c r="AM102" s="57">
        <v>0</v>
      </c>
      <c r="AN102" s="61">
        <f t="shared" si="107"/>
        <v>2</v>
      </c>
      <c r="AO102" s="40">
        <f t="shared" si="121"/>
        <v>0</v>
      </c>
      <c r="AP102" s="40">
        <f t="shared" si="122"/>
        <v>0</v>
      </c>
      <c r="AQ102" s="44">
        <f t="shared" si="123"/>
        <v>977.05190601468632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43</v>
      </c>
      <c r="G103" s="35">
        <f>SUMIFS(WORKING!$AC$3:$AC$6802,WORKING!$A$3:$A$6802,Results!$D$3,WORKING!$B$3:$B$6802,Results!A103,WORKING!$C$3:$C$6802,Results!C103)/1000</f>
        <v>30659.219259999994</v>
      </c>
      <c r="H103" s="35">
        <f t="shared" si="108"/>
        <v>713.00509906976731</v>
      </c>
      <c r="I103" s="187">
        <v>31</v>
      </c>
      <c r="J103" s="212">
        <v>21568</v>
      </c>
      <c r="K103" s="217">
        <f t="shared" si="109"/>
        <v>695.74193548387098</v>
      </c>
      <c r="L103" s="34">
        <f t="shared" si="102"/>
        <v>31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759.58692605684837</v>
      </c>
      <c r="N103" s="57">
        <v>0</v>
      </c>
      <c r="O103" s="57">
        <v>3</v>
      </c>
      <c r="P103" s="61">
        <f t="shared" si="103"/>
        <v>28</v>
      </c>
      <c r="Q103" s="40">
        <f t="shared" si="110"/>
        <v>0</v>
      </c>
      <c r="R103" s="40">
        <f t="shared" si="111"/>
        <v>-2278.7607781705451</v>
      </c>
      <c r="S103" s="44">
        <f t="shared" si="112"/>
        <v>21268.433929591753</v>
      </c>
      <c r="T103" s="35">
        <f t="shared" si="113"/>
        <v>28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824.66637603107972</v>
      </c>
      <c r="V103" s="57">
        <v>0</v>
      </c>
      <c r="W103" s="57">
        <v>4</v>
      </c>
      <c r="X103" s="61">
        <f t="shared" si="104"/>
        <v>24</v>
      </c>
      <c r="Y103" s="40">
        <f t="shared" si="114"/>
        <v>0</v>
      </c>
      <c r="Z103" s="40">
        <f t="shared" si="115"/>
        <v>-3298.6655041243189</v>
      </c>
      <c r="AA103" s="44">
        <f t="shared" si="116"/>
        <v>19791.993024745912</v>
      </c>
      <c r="AB103" s="35">
        <f t="shared" si="117"/>
        <v>24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894.48491631540753</v>
      </c>
      <c r="AD103" s="57">
        <v>0</v>
      </c>
      <c r="AE103" s="57">
        <v>3</v>
      </c>
      <c r="AF103" s="61">
        <f t="shared" si="105"/>
        <v>21</v>
      </c>
      <c r="AG103" s="40">
        <f t="shared" si="118"/>
        <v>0</v>
      </c>
      <c r="AH103" s="40">
        <f t="shared" si="119"/>
        <v>-2683.4547489462225</v>
      </c>
      <c r="AI103" s="44">
        <f t="shared" si="120"/>
        <v>18784.18324262356</v>
      </c>
      <c r="AJ103" s="35">
        <f t="shared" si="106"/>
        <v>21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968.39930621034557</v>
      </c>
      <c r="AL103" s="57">
        <v>0</v>
      </c>
      <c r="AM103" s="57">
        <v>4</v>
      </c>
      <c r="AN103" s="61">
        <f t="shared" si="107"/>
        <v>17</v>
      </c>
      <c r="AO103" s="40">
        <f t="shared" si="121"/>
        <v>0</v>
      </c>
      <c r="AP103" s="40">
        <f t="shared" si="122"/>
        <v>-3873.5972248413823</v>
      </c>
      <c r="AQ103" s="44">
        <f t="shared" si="123"/>
        <v>16462.788205575875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21</v>
      </c>
      <c r="G104" s="35">
        <f>SUMIFS(WORKING!$AC$3:$AC$6802,WORKING!$A$3:$A$6802,Results!$D$3,WORKING!$B$3:$B$6802,Results!A104,WORKING!$C$3:$C$6802,Results!C104)/1000</f>
        <v>20195.469320000004</v>
      </c>
      <c r="H104" s="35">
        <f t="shared" si="108"/>
        <v>961.68901523809541</v>
      </c>
      <c r="I104" s="187">
        <v>20</v>
      </c>
      <c r="J104" s="212">
        <v>15378</v>
      </c>
      <c r="K104" s="217">
        <f t="shared" si="109"/>
        <v>768.9</v>
      </c>
      <c r="L104" s="34">
        <f t="shared" si="102"/>
        <v>20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805.89952840271394</v>
      </c>
      <c r="N104" s="57">
        <v>0</v>
      </c>
      <c r="O104" s="57">
        <v>2</v>
      </c>
      <c r="P104" s="61">
        <f t="shared" si="103"/>
        <v>18</v>
      </c>
      <c r="Q104" s="40">
        <f t="shared" si="110"/>
        <v>0</v>
      </c>
      <c r="R104" s="40">
        <f t="shared" si="111"/>
        <v>-1611.7990568054279</v>
      </c>
      <c r="S104" s="44">
        <f t="shared" si="112"/>
        <v>14506.191511248851</v>
      </c>
      <c r="T104" s="35">
        <f t="shared" si="113"/>
        <v>18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866.75725618574529</v>
      </c>
      <c r="V104" s="57">
        <v>0</v>
      </c>
      <c r="W104" s="57">
        <v>0</v>
      </c>
      <c r="X104" s="61">
        <f t="shared" si="104"/>
        <v>18</v>
      </c>
      <c r="Y104" s="40">
        <f t="shared" si="114"/>
        <v>0</v>
      </c>
      <c r="Z104" s="40">
        <f t="shared" si="115"/>
        <v>0</v>
      </c>
      <c r="AA104" s="44">
        <f t="shared" si="116"/>
        <v>15601.630611343415</v>
      </c>
      <c r="AB104" s="35">
        <f t="shared" si="117"/>
        <v>18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931.33122823493466</v>
      </c>
      <c r="AD104" s="57">
        <v>0</v>
      </c>
      <c r="AE104" s="57">
        <v>3</v>
      </c>
      <c r="AF104" s="61">
        <f t="shared" si="105"/>
        <v>15</v>
      </c>
      <c r="AG104" s="40">
        <f t="shared" si="118"/>
        <v>0</v>
      </c>
      <c r="AH104" s="40">
        <f t="shared" si="119"/>
        <v>-2793.9936847048039</v>
      </c>
      <c r="AI104" s="44">
        <f t="shared" si="120"/>
        <v>13969.96842352402</v>
      </c>
      <c r="AJ104" s="35">
        <f t="shared" si="106"/>
        <v>15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998.82607630803545</v>
      </c>
      <c r="AL104" s="57">
        <v>0</v>
      </c>
      <c r="AM104" s="57">
        <v>0</v>
      </c>
      <c r="AN104" s="61">
        <f t="shared" si="107"/>
        <v>15</v>
      </c>
      <c r="AO104" s="40">
        <f t="shared" si="121"/>
        <v>0</v>
      </c>
      <c r="AP104" s="40">
        <f t="shared" si="122"/>
        <v>0</v>
      </c>
      <c r="AQ104" s="44">
        <f t="shared" si="123"/>
        <v>14982.391144620531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6</v>
      </c>
      <c r="G105" s="35">
        <f>SUMIFS(WORKING!$AC$3:$AC$6802,WORKING!$A$3:$A$6802,Results!$D$3,WORKING!$B$3:$B$6802,Results!A105,WORKING!$C$3:$C$6802,Results!C105)/1000</f>
        <v>6333.3471400000008</v>
      </c>
      <c r="H105" s="35">
        <f t="shared" si="108"/>
        <v>1055.5578566666668</v>
      </c>
      <c r="I105" s="187">
        <v>5</v>
      </c>
      <c r="J105" s="212">
        <v>5340</v>
      </c>
      <c r="K105" s="217">
        <f t="shared" si="109"/>
        <v>1068</v>
      </c>
      <c r="L105" s="34">
        <f t="shared" si="102"/>
        <v>5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1119.346629442344</v>
      </c>
      <c r="N105" s="57">
        <v>0</v>
      </c>
      <c r="O105" s="57">
        <v>0</v>
      </c>
      <c r="P105" s="61">
        <f t="shared" si="103"/>
        <v>5</v>
      </c>
      <c r="Q105" s="40">
        <f t="shared" si="110"/>
        <v>0</v>
      </c>
      <c r="R105" s="40">
        <f t="shared" si="111"/>
        <v>0</v>
      </c>
      <c r="S105" s="44">
        <f t="shared" si="112"/>
        <v>5596.7331472117203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1203.8253454852895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6019.1267274264474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1293.4583969073853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6467.291984536927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1387.1405689272758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6935.7028446363793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2</v>
      </c>
      <c r="G106" s="35">
        <f>SUMIFS(WORKING!$AC$3:$AC$6802,WORKING!$A$3:$A$6802,Results!$D$3,WORKING!$B$3:$B$6802,Results!A106,WORKING!$C$3:$C$6802,Results!C106)/1000</f>
        <v>1853.7794599999997</v>
      </c>
      <c r="H106" s="35">
        <f t="shared" si="108"/>
        <v>926.88972999999987</v>
      </c>
      <c r="I106" s="187">
        <v>2</v>
      </c>
      <c r="J106" s="212">
        <v>2676</v>
      </c>
      <c r="K106" s="217">
        <f t="shared" si="109"/>
        <v>1338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1402.6816748673994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2805.3633497347987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1508.9250791658103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3017.8501583316206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1621.6843486138673</v>
      </c>
      <c r="AD106" s="57">
        <v>0</v>
      </c>
      <c r="AE106" s="57">
        <v>0</v>
      </c>
      <c r="AF106" s="61">
        <f t="shared" si="105"/>
        <v>2</v>
      </c>
      <c r="AG106" s="40">
        <f t="shared" si="118"/>
        <v>0</v>
      </c>
      <c r="AH106" s="40">
        <f t="shared" si="119"/>
        <v>0</v>
      </c>
      <c r="AI106" s="44">
        <f t="shared" si="120"/>
        <v>3243.3686972277346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1739.5783773432511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3479.1567546865022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135</v>
      </c>
      <c r="G112" s="41">
        <f>SUM(G92:G111)</f>
        <v>85130.616469999994</v>
      </c>
      <c r="H112" s="41">
        <f>IFERROR(G112/F112,0)</f>
        <v>630.59715903703704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110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68906</v>
      </c>
      <c r="K112" s="41">
        <f>IFERROR(J112/I112,"")</f>
        <v>626.41818181818178</v>
      </c>
      <c r="L112" s="41">
        <f>SUM(L92:L111)</f>
        <v>110</v>
      </c>
      <c r="M112" s="41">
        <f>IFERROR(S112/P112,0)</f>
        <v>681.36284346606419</v>
      </c>
      <c r="N112" s="41">
        <f t="shared" ref="N112:T112" si="124">SUM(N92:N111)</f>
        <v>0</v>
      </c>
      <c r="O112" s="41">
        <f t="shared" si="124"/>
        <v>11</v>
      </c>
      <c r="P112" s="41">
        <f t="shared" si="124"/>
        <v>99</v>
      </c>
      <c r="Q112" s="41">
        <f t="shared" si="124"/>
        <v>0</v>
      </c>
      <c r="R112" s="41">
        <f t="shared" si="124"/>
        <v>-6703.7405983521621</v>
      </c>
      <c r="S112" s="45">
        <f t="shared" si="124"/>
        <v>67454.921503140358</v>
      </c>
      <c r="T112" s="41">
        <f t="shared" si="124"/>
        <v>99</v>
      </c>
      <c r="U112" s="41">
        <f>IFERROR(AA112/X112,0)</f>
        <v>748.94278459172415</v>
      </c>
      <c r="V112" s="41">
        <f t="shared" ref="V112:AB112" si="125">SUM(V92:V111)</f>
        <v>0</v>
      </c>
      <c r="W112" s="41">
        <f t="shared" si="125"/>
        <v>11</v>
      </c>
      <c r="X112" s="41">
        <f t="shared" si="125"/>
        <v>88</v>
      </c>
      <c r="Y112" s="41">
        <f t="shared" si="125"/>
        <v>0</v>
      </c>
      <c r="Z112" s="41">
        <f t="shared" si="125"/>
        <v>-7087.5051590276926</v>
      </c>
      <c r="AA112" s="45">
        <f t="shared" si="125"/>
        <v>65906.965044071723</v>
      </c>
      <c r="AB112" s="41">
        <f t="shared" si="125"/>
        <v>88</v>
      </c>
      <c r="AC112" s="41">
        <f>IFERROR(AI112/AF112,0)</f>
        <v>810.68098127014753</v>
      </c>
      <c r="AD112" s="41">
        <f t="shared" ref="AD112:AJ112" si="126">SUM(AD92:AD111)</f>
        <v>0</v>
      </c>
      <c r="AE112" s="41">
        <f t="shared" si="126"/>
        <v>10</v>
      </c>
      <c r="AF112" s="41">
        <f t="shared" si="126"/>
        <v>78</v>
      </c>
      <c r="AG112" s="41">
        <f t="shared" si="126"/>
        <v>0</v>
      </c>
      <c r="AH112" s="41">
        <f t="shared" si="126"/>
        <v>-7997.0786386569371</v>
      </c>
      <c r="AI112" s="45">
        <f t="shared" si="126"/>
        <v>63233.116539071503</v>
      </c>
      <c r="AJ112" s="41">
        <f t="shared" si="126"/>
        <v>78</v>
      </c>
      <c r="AK112" s="41">
        <f>IFERROR(AQ112/AN112,0)</f>
        <v>876.89504702843476</v>
      </c>
      <c r="AL112" s="41">
        <f t="shared" ref="AL112:AQ112" si="127">SUM(AL92:AL111)</f>
        <v>0</v>
      </c>
      <c r="AM112" s="41">
        <f t="shared" si="127"/>
        <v>9</v>
      </c>
      <c r="AN112" s="41">
        <f t="shared" si="127"/>
        <v>69</v>
      </c>
      <c r="AO112" s="41">
        <f t="shared" si="127"/>
        <v>0</v>
      </c>
      <c r="AP112" s="41">
        <f t="shared" si="127"/>
        <v>-7705.8903760360281</v>
      </c>
      <c r="AQ112" s="45">
        <f t="shared" si="127"/>
        <v>60505.758244962002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82406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77207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79224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85245.024000000005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14951.078496859642</v>
      </c>
      <c r="T114" s="39"/>
      <c r="U114" s="39"/>
      <c r="V114" s="53"/>
      <c r="W114" s="53"/>
      <c r="X114" s="110"/>
      <c r="Y114" s="39"/>
      <c r="Z114" s="39"/>
      <c r="AA114" s="54">
        <f>AA113-AA112</f>
        <v>11300.034955928277</v>
      </c>
      <c r="AB114" s="39"/>
      <c r="AC114" s="53"/>
      <c r="AD114" s="53"/>
      <c r="AE114" s="110"/>
      <c r="AF114" s="39"/>
      <c r="AG114" s="39"/>
      <c r="AH114" s="39"/>
      <c r="AI114" s="54">
        <f>AI113-AI112</f>
        <v>15990.883460928497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24739.265755038003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Special Economic Zones and Economic Transformation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5</v>
      </c>
      <c r="G120" s="35">
        <f>SUMIFS(WORKING!$AC$3:$AC$6802,WORKING!$A$3:$A$6802,Results!$D$3,WORKING!$B$3:$B$6802,Results!A120,WORKING!$C$3:$C$6802,Results!C120)/1000</f>
        <v>301.9726</v>
      </c>
      <c r="H120" s="35">
        <f>IFERROR(G120/F120,0)</f>
        <v>60.39452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65.959271072799993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71.63506634861443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77.726554215568854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84.178246848232135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1</v>
      </c>
      <c r="G121" s="35">
        <f>SUMIFS(WORKING!$AC$3:$AC$6802,WORKING!$A$3:$A$6802,Results!$D$3,WORKING!$B$3:$B$6802,Results!A121,WORKING!$C$3:$C$6802,Results!C121)/1000</f>
        <v>147.26575</v>
      </c>
      <c r="H121" s="35">
        <f t="shared" ref="H121:H139" si="134">IFERROR(G121/F121,0)</f>
        <v>147.26575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160.83481620500001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174.67465213944024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189.52811118411753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205.25989205295517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6</v>
      </c>
      <c r="J122" s="212">
        <v>690</v>
      </c>
      <c r="K122" s="217">
        <f t="shared" si="135"/>
        <v>115</v>
      </c>
      <c r="L122" s="34">
        <f t="shared" si="128"/>
        <v>6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123.49018371989247</v>
      </c>
      <c r="N122" s="57">
        <v>0</v>
      </c>
      <c r="O122" s="57">
        <v>0</v>
      </c>
      <c r="P122" s="61">
        <f t="shared" si="129"/>
        <v>6</v>
      </c>
      <c r="Q122" s="40">
        <f t="shared" si="136"/>
        <v>0</v>
      </c>
      <c r="R122" s="40">
        <f t="shared" si="137"/>
        <v>0</v>
      </c>
      <c r="S122" s="44">
        <f t="shared" si="138"/>
        <v>740.94110231935485</v>
      </c>
      <c r="T122" s="35">
        <f t="shared" si="139"/>
        <v>6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132.13858647626051</v>
      </c>
      <c r="V122" s="57">
        <v>0</v>
      </c>
      <c r="W122" s="57">
        <v>0</v>
      </c>
      <c r="X122" s="61">
        <f t="shared" si="130"/>
        <v>6</v>
      </c>
      <c r="Y122" s="40">
        <f t="shared" si="140"/>
        <v>0</v>
      </c>
      <c r="Z122" s="40">
        <f t="shared" si="141"/>
        <v>0</v>
      </c>
      <c r="AA122" s="44">
        <f t="shared" si="142"/>
        <v>792.83151885756308</v>
      </c>
      <c r="AB122" s="35">
        <f t="shared" si="143"/>
        <v>6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141.26052526727042</v>
      </c>
      <c r="AD122" s="57">
        <v>0</v>
      </c>
      <c r="AE122" s="57">
        <v>0</v>
      </c>
      <c r="AF122" s="61">
        <f t="shared" si="131"/>
        <v>6</v>
      </c>
      <c r="AG122" s="40">
        <f t="shared" si="144"/>
        <v>0</v>
      </c>
      <c r="AH122" s="40">
        <f t="shared" si="145"/>
        <v>0</v>
      </c>
      <c r="AI122" s="44">
        <f t="shared" si="146"/>
        <v>847.5631516036226</v>
      </c>
      <c r="AJ122" s="35">
        <f t="shared" si="132"/>
        <v>6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150.72965889563204</v>
      </c>
      <c r="AL122" s="57">
        <v>0</v>
      </c>
      <c r="AM122" s="57">
        <v>0</v>
      </c>
      <c r="AN122" s="61">
        <f t="shared" si="133"/>
        <v>6</v>
      </c>
      <c r="AO122" s="40">
        <f t="shared" si="147"/>
        <v>0</v>
      </c>
      <c r="AP122" s="40">
        <f t="shared" si="148"/>
        <v>0</v>
      </c>
      <c r="AQ122" s="44">
        <f t="shared" si="149"/>
        <v>904.37795337379225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14.676620000000002</v>
      </c>
      <c r="H124" s="35">
        <f t="shared" si="134"/>
        <v>0</v>
      </c>
      <c r="I124" s="187">
        <v>0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</v>
      </c>
      <c r="G125" s="35">
        <f>SUMIFS(WORKING!$AC$3:$AC$6802,WORKING!$A$3:$A$6802,Results!$D$3,WORKING!$B$3:$B$6802,Results!A125,WORKING!$C$3:$C$6802,Results!C125)/1000</f>
        <v>331.84289000000001</v>
      </c>
      <c r="H125" s="35">
        <f t="shared" si="134"/>
        <v>331.84289000000001</v>
      </c>
      <c r="I125" s="187">
        <v>1</v>
      </c>
      <c r="J125" s="212">
        <v>234</v>
      </c>
      <c r="K125" s="217">
        <f t="shared" si="135"/>
        <v>234</v>
      </c>
      <c r="L125" s="34">
        <f t="shared" si="128"/>
        <v>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254.39821556687349</v>
      </c>
      <c r="N125" s="57">
        <v>0</v>
      </c>
      <c r="O125" s="57">
        <v>0</v>
      </c>
      <c r="P125" s="61">
        <f t="shared" si="129"/>
        <v>1</v>
      </c>
      <c r="Q125" s="40">
        <f t="shared" si="136"/>
        <v>0</v>
      </c>
      <c r="R125" s="40">
        <f t="shared" si="137"/>
        <v>0</v>
      </c>
      <c r="S125" s="44">
        <f t="shared" si="138"/>
        <v>254.39821556687349</v>
      </c>
      <c r="T125" s="35">
        <f t="shared" si="139"/>
        <v>1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275.93003620206116</v>
      </c>
      <c r="V125" s="57">
        <v>0</v>
      </c>
      <c r="W125" s="57">
        <v>0</v>
      </c>
      <c r="X125" s="61">
        <f t="shared" si="130"/>
        <v>1</v>
      </c>
      <c r="Y125" s="40">
        <f t="shared" si="140"/>
        <v>0</v>
      </c>
      <c r="Z125" s="40">
        <f t="shared" si="141"/>
        <v>0</v>
      </c>
      <c r="AA125" s="44">
        <f t="shared" si="142"/>
        <v>275.93003620206116</v>
      </c>
      <c r="AB125" s="35">
        <f t="shared" si="143"/>
        <v>1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299.0045863724751</v>
      </c>
      <c r="AD125" s="57">
        <v>0</v>
      </c>
      <c r="AE125" s="57">
        <v>0</v>
      </c>
      <c r="AF125" s="61">
        <f t="shared" si="131"/>
        <v>1</v>
      </c>
      <c r="AG125" s="40">
        <f t="shared" si="144"/>
        <v>0</v>
      </c>
      <c r="AH125" s="40">
        <f t="shared" si="145"/>
        <v>0</v>
      </c>
      <c r="AI125" s="44">
        <f t="shared" si="146"/>
        <v>299.0045863724751</v>
      </c>
      <c r="AJ125" s="35">
        <f t="shared" si="132"/>
        <v>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323.40258789245166</v>
      </c>
      <c r="AL125" s="57">
        <v>0</v>
      </c>
      <c r="AM125" s="57">
        <v>0</v>
      </c>
      <c r="AN125" s="61">
        <f t="shared" si="133"/>
        <v>1</v>
      </c>
      <c r="AO125" s="40">
        <f t="shared" si="147"/>
        <v>0</v>
      </c>
      <c r="AP125" s="40">
        <f t="shared" si="148"/>
        <v>0</v>
      </c>
      <c r="AQ125" s="44">
        <f t="shared" si="149"/>
        <v>323.40258789245166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10</v>
      </c>
      <c r="G126" s="35">
        <f>SUMIFS(WORKING!$AC$3:$AC$6802,WORKING!$A$3:$A$6802,Results!$D$3,WORKING!$B$3:$B$6802,Results!A126,WORKING!$C$3:$C$6802,Results!C126)/1000</f>
        <v>2563.9981699999998</v>
      </c>
      <c r="H126" s="35">
        <f t="shared" si="134"/>
        <v>256.39981699999998</v>
      </c>
      <c r="I126" s="187">
        <v>10</v>
      </c>
      <c r="J126" s="212">
        <v>2974</v>
      </c>
      <c r="K126" s="217">
        <f t="shared" si="135"/>
        <v>297.39999999999998</v>
      </c>
      <c r="L126" s="34">
        <f t="shared" si="128"/>
        <v>10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323.68553616915034</v>
      </c>
      <c r="N126" s="57">
        <v>0</v>
      </c>
      <c r="O126" s="57">
        <v>3</v>
      </c>
      <c r="P126" s="61">
        <f t="shared" si="129"/>
        <v>7</v>
      </c>
      <c r="Q126" s="40">
        <f t="shared" si="136"/>
        <v>0</v>
      </c>
      <c r="R126" s="40">
        <f t="shared" si="137"/>
        <v>-971.05660850745107</v>
      </c>
      <c r="S126" s="44">
        <f t="shared" si="138"/>
        <v>2265.7987531840522</v>
      </c>
      <c r="T126" s="35">
        <f t="shared" si="139"/>
        <v>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351.19174174142177</v>
      </c>
      <c r="V126" s="57">
        <v>0</v>
      </c>
      <c r="W126" s="57">
        <v>1</v>
      </c>
      <c r="X126" s="61">
        <f t="shared" si="130"/>
        <v>6</v>
      </c>
      <c r="Y126" s="40">
        <f t="shared" si="140"/>
        <v>0</v>
      </c>
      <c r="Z126" s="40">
        <f t="shared" si="141"/>
        <v>-351.19174174142177</v>
      </c>
      <c r="AA126" s="44">
        <f t="shared" si="142"/>
        <v>2107.1504504485306</v>
      </c>
      <c r="AB126" s="35">
        <f t="shared" si="143"/>
        <v>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380.67936114478726</v>
      </c>
      <c r="AD126" s="57">
        <v>0</v>
      </c>
      <c r="AE126" s="57">
        <v>2</v>
      </c>
      <c r="AF126" s="61">
        <f t="shared" si="131"/>
        <v>4</v>
      </c>
      <c r="AG126" s="40">
        <f t="shared" si="144"/>
        <v>0</v>
      </c>
      <c r="AH126" s="40">
        <f t="shared" si="145"/>
        <v>-761.35872228957453</v>
      </c>
      <c r="AI126" s="44">
        <f t="shared" si="146"/>
        <v>1522.7174445791491</v>
      </c>
      <c r="AJ126" s="35">
        <f t="shared" si="132"/>
        <v>4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411.87108066606851</v>
      </c>
      <c r="AL126" s="57">
        <v>0</v>
      </c>
      <c r="AM126" s="57">
        <v>1</v>
      </c>
      <c r="AN126" s="61">
        <f t="shared" si="133"/>
        <v>3</v>
      </c>
      <c r="AO126" s="40">
        <f t="shared" si="147"/>
        <v>0</v>
      </c>
      <c r="AP126" s="40">
        <f t="shared" si="148"/>
        <v>-411.87108066606851</v>
      </c>
      <c r="AQ126" s="44">
        <f t="shared" si="149"/>
        <v>1235.6132419982055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7</v>
      </c>
      <c r="G127" s="35">
        <f>SUMIFS(WORKING!$AC$3:$AC$6802,WORKING!$A$3:$A$6802,Results!$D$3,WORKING!$B$3:$B$6802,Results!A127,WORKING!$C$3:$C$6802,Results!C127)/1000</f>
        <v>2383.2452000000003</v>
      </c>
      <c r="H127" s="35">
        <f t="shared" si="134"/>
        <v>340.46360000000004</v>
      </c>
      <c r="I127" s="187">
        <v>7</v>
      </c>
      <c r="J127" s="212">
        <v>3060</v>
      </c>
      <c r="K127" s="217">
        <f t="shared" si="135"/>
        <v>437.14285714285717</v>
      </c>
      <c r="L127" s="34">
        <f t="shared" si="128"/>
        <v>7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476.00891972141523</v>
      </c>
      <c r="N127" s="57">
        <v>0</v>
      </c>
      <c r="O127" s="57">
        <v>0</v>
      </c>
      <c r="P127" s="61">
        <f t="shared" si="129"/>
        <v>7</v>
      </c>
      <c r="Q127" s="40">
        <f t="shared" si="136"/>
        <v>0</v>
      </c>
      <c r="R127" s="40">
        <f t="shared" si="137"/>
        <v>0</v>
      </c>
      <c r="S127" s="44">
        <f t="shared" si="138"/>
        <v>3332.0624380499066</v>
      </c>
      <c r="T127" s="35">
        <f t="shared" si="139"/>
        <v>7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516.52840925855071</v>
      </c>
      <c r="V127" s="57">
        <v>0</v>
      </c>
      <c r="W127" s="57">
        <v>1</v>
      </c>
      <c r="X127" s="61">
        <f t="shared" si="130"/>
        <v>6</v>
      </c>
      <c r="Y127" s="40">
        <f t="shared" si="140"/>
        <v>0</v>
      </c>
      <c r="Z127" s="40">
        <f t="shared" si="141"/>
        <v>-516.52840925855071</v>
      </c>
      <c r="AA127" s="44">
        <f t="shared" si="142"/>
        <v>3099.1704555513043</v>
      </c>
      <c r="AB127" s="35">
        <f t="shared" si="143"/>
        <v>6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559.97346715308754</v>
      </c>
      <c r="AD127" s="57">
        <v>0</v>
      </c>
      <c r="AE127" s="57">
        <v>0</v>
      </c>
      <c r="AF127" s="61">
        <f t="shared" si="131"/>
        <v>6</v>
      </c>
      <c r="AG127" s="40">
        <f t="shared" si="144"/>
        <v>0</v>
      </c>
      <c r="AH127" s="40">
        <f t="shared" si="145"/>
        <v>0</v>
      </c>
      <c r="AI127" s="44">
        <f t="shared" si="146"/>
        <v>3359.8408029185252</v>
      </c>
      <c r="AJ127" s="35">
        <f t="shared" si="132"/>
        <v>6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605.93742358537452</v>
      </c>
      <c r="AL127" s="57">
        <v>0</v>
      </c>
      <c r="AM127" s="57">
        <v>0</v>
      </c>
      <c r="AN127" s="61">
        <f t="shared" si="133"/>
        <v>6</v>
      </c>
      <c r="AO127" s="40">
        <f t="shared" si="147"/>
        <v>0</v>
      </c>
      <c r="AP127" s="40">
        <f t="shared" si="148"/>
        <v>0</v>
      </c>
      <c r="AQ127" s="44">
        <f t="shared" si="149"/>
        <v>3635.6245415122471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2</v>
      </c>
      <c r="G128" s="35">
        <f>SUMIFS(WORKING!$AC$3:$AC$6802,WORKING!$A$3:$A$6802,Results!$D$3,WORKING!$B$3:$B$6802,Results!A128,WORKING!$C$3:$C$6802,Results!C128)/1000</f>
        <v>949.6787599999999</v>
      </c>
      <c r="H128" s="35">
        <f t="shared" si="134"/>
        <v>474.83937999999995</v>
      </c>
      <c r="I128" s="187">
        <v>2</v>
      </c>
      <c r="J128" s="212">
        <v>880</v>
      </c>
      <c r="K128" s="217">
        <f t="shared" si="135"/>
        <v>440</v>
      </c>
      <c r="L128" s="34">
        <f t="shared" si="128"/>
        <v>2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480.00235659711223</v>
      </c>
      <c r="N128" s="57">
        <v>0</v>
      </c>
      <c r="O128" s="57">
        <v>0</v>
      </c>
      <c r="P128" s="61">
        <f t="shared" si="129"/>
        <v>2</v>
      </c>
      <c r="Q128" s="40">
        <f t="shared" si="136"/>
        <v>0</v>
      </c>
      <c r="R128" s="40">
        <f t="shared" si="137"/>
        <v>0</v>
      </c>
      <c r="S128" s="44">
        <f t="shared" si="138"/>
        <v>960.00471319422445</v>
      </c>
      <c r="T128" s="35">
        <f t="shared" si="139"/>
        <v>2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521.13274734739525</v>
      </c>
      <c r="V128" s="57">
        <v>0</v>
      </c>
      <c r="W128" s="57">
        <v>0</v>
      </c>
      <c r="X128" s="61">
        <f t="shared" si="130"/>
        <v>2</v>
      </c>
      <c r="Y128" s="40">
        <f t="shared" si="140"/>
        <v>0</v>
      </c>
      <c r="Z128" s="40">
        <f t="shared" si="141"/>
        <v>0</v>
      </c>
      <c r="AA128" s="44">
        <f t="shared" si="142"/>
        <v>1042.2654946947905</v>
      </c>
      <c r="AB128" s="35">
        <f t="shared" si="143"/>
        <v>2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565.25907771656625</v>
      </c>
      <c r="AD128" s="57">
        <v>0</v>
      </c>
      <c r="AE128" s="57">
        <v>0</v>
      </c>
      <c r="AF128" s="61">
        <f t="shared" si="131"/>
        <v>2</v>
      </c>
      <c r="AG128" s="40">
        <f t="shared" si="144"/>
        <v>0</v>
      </c>
      <c r="AH128" s="40">
        <f t="shared" si="145"/>
        <v>0</v>
      </c>
      <c r="AI128" s="44">
        <f t="shared" si="146"/>
        <v>1130.5181554331325</v>
      </c>
      <c r="AJ128" s="35">
        <f t="shared" si="132"/>
        <v>2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611.97539213270159</v>
      </c>
      <c r="AL128" s="57">
        <v>0</v>
      </c>
      <c r="AM128" s="57">
        <v>0</v>
      </c>
      <c r="AN128" s="61">
        <f t="shared" si="133"/>
        <v>2</v>
      </c>
      <c r="AO128" s="40">
        <f t="shared" si="147"/>
        <v>0</v>
      </c>
      <c r="AP128" s="40">
        <f t="shared" si="148"/>
        <v>0</v>
      </c>
      <c r="AQ128" s="44">
        <f t="shared" si="149"/>
        <v>1223.9507842654032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12</v>
      </c>
      <c r="G129" s="35">
        <f>SUMIFS(WORKING!$AC$3:$AC$6802,WORKING!$A$3:$A$6802,Results!$D$3,WORKING!$B$3:$B$6802,Results!A129,WORKING!$C$3:$C$6802,Results!C129)/1000</f>
        <v>5491.3948500000015</v>
      </c>
      <c r="H129" s="35">
        <f t="shared" si="134"/>
        <v>457.61623750000012</v>
      </c>
      <c r="I129" s="187">
        <v>11</v>
      </c>
      <c r="J129" s="212">
        <v>7102</v>
      </c>
      <c r="K129" s="217">
        <f t="shared" si="135"/>
        <v>645.63636363636363</v>
      </c>
      <c r="L129" s="34">
        <f t="shared" si="128"/>
        <v>11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703.89903470541321</v>
      </c>
      <c r="N129" s="57">
        <v>0</v>
      </c>
      <c r="O129" s="57">
        <v>2</v>
      </c>
      <c r="P129" s="61">
        <f t="shared" si="129"/>
        <v>9</v>
      </c>
      <c r="Q129" s="40">
        <f t="shared" si="136"/>
        <v>0</v>
      </c>
      <c r="R129" s="40">
        <f t="shared" si="137"/>
        <v>-1407.7980694108264</v>
      </c>
      <c r="S129" s="44">
        <f t="shared" si="138"/>
        <v>6335.0913123487189</v>
      </c>
      <c r="T129" s="35">
        <f t="shared" si="139"/>
        <v>9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764.08606440355459</v>
      </c>
      <c r="V129" s="57">
        <v>0</v>
      </c>
      <c r="W129" s="57">
        <v>2</v>
      </c>
      <c r="X129" s="61">
        <f t="shared" si="130"/>
        <v>7</v>
      </c>
      <c r="Y129" s="40">
        <f t="shared" si="140"/>
        <v>0</v>
      </c>
      <c r="Z129" s="40">
        <f t="shared" si="141"/>
        <v>-1528.1721288071092</v>
      </c>
      <c r="AA129" s="44">
        <f t="shared" si="142"/>
        <v>5348.602450824882</v>
      </c>
      <c r="AB129" s="35">
        <f t="shared" si="143"/>
        <v>7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828.64445420601476</v>
      </c>
      <c r="AD129" s="57">
        <v>0</v>
      </c>
      <c r="AE129" s="57">
        <v>0</v>
      </c>
      <c r="AF129" s="61">
        <f t="shared" si="131"/>
        <v>7</v>
      </c>
      <c r="AG129" s="40">
        <f t="shared" si="144"/>
        <v>0</v>
      </c>
      <c r="AH129" s="40">
        <f t="shared" si="145"/>
        <v>0</v>
      </c>
      <c r="AI129" s="44">
        <f t="shared" si="146"/>
        <v>5800.5111794421036</v>
      </c>
      <c r="AJ129" s="35">
        <f t="shared" si="132"/>
        <v>7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896.97660668867854</v>
      </c>
      <c r="AL129" s="57">
        <v>0</v>
      </c>
      <c r="AM129" s="57">
        <v>2</v>
      </c>
      <c r="AN129" s="61">
        <f t="shared" si="133"/>
        <v>5</v>
      </c>
      <c r="AO129" s="40">
        <f t="shared" si="147"/>
        <v>0</v>
      </c>
      <c r="AP129" s="40">
        <f t="shared" si="148"/>
        <v>-1793.9532133773571</v>
      </c>
      <c r="AQ129" s="44">
        <f t="shared" si="149"/>
        <v>4484.8830334433924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</v>
      </c>
      <c r="G130" s="35">
        <f>SUMIFS(WORKING!$AC$3:$AC$6802,WORKING!$A$3:$A$6802,Results!$D$3,WORKING!$B$3:$B$6802,Results!A130,WORKING!$C$3:$C$6802,Results!C130)/1000</f>
        <v>379.17708999999996</v>
      </c>
      <c r="H130" s="35">
        <f t="shared" si="134"/>
        <v>379.17708999999996</v>
      </c>
      <c r="I130" s="187">
        <v>2</v>
      </c>
      <c r="J130" s="212">
        <v>758</v>
      </c>
      <c r="K130" s="217">
        <f t="shared" si="135"/>
        <v>379</v>
      </c>
      <c r="L130" s="34">
        <f t="shared" si="128"/>
        <v>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413.9203972784606</v>
      </c>
      <c r="N130" s="57">
        <v>0</v>
      </c>
      <c r="O130" s="57">
        <v>0</v>
      </c>
      <c r="P130" s="61">
        <f t="shared" si="129"/>
        <v>2</v>
      </c>
      <c r="Q130" s="40">
        <f t="shared" si="136"/>
        <v>0</v>
      </c>
      <c r="R130" s="40">
        <f t="shared" si="137"/>
        <v>0</v>
      </c>
      <c r="S130" s="44">
        <f t="shared" si="138"/>
        <v>827.8407945569212</v>
      </c>
      <c r="T130" s="35">
        <f t="shared" si="139"/>
        <v>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449.53752771669667</v>
      </c>
      <c r="V130" s="57">
        <v>0</v>
      </c>
      <c r="W130" s="57">
        <v>0</v>
      </c>
      <c r="X130" s="61">
        <f t="shared" si="130"/>
        <v>2</v>
      </c>
      <c r="Y130" s="40">
        <f t="shared" si="140"/>
        <v>0</v>
      </c>
      <c r="Z130" s="40">
        <f t="shared" si="141"/>
        <v>0</v>
      </c>
      <c r="AA130" s="44">
        <f t="shared" si="142"/>
        <v>899.07505543339335</v>
      </c>
      <c r="AB130" s="35">
        <f t="shared" si="143"/>
        <v>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487.76317043602575</v>
      </c>
      <c r="AD130" s="57">
        <v>0</v>
      </c>
      <c r="AE130" s="57">
        <v>0</v>
      </c>
      <c r="AF130" s="61">
        <f t="shared" si="131"/>
        <v>2</v>
      </c>
      <c r="AG130" s="40">
        <f t="shared" si="144"/>
        <v>0</v>
      </c>
      <c r="AH130" s="40">
        <f t="shared" si="145"/>
        <v>0</v>
      </c>
      <c r="AI130" s="44">
        <f t="shared" si="146"/>
        <v>975.52634087205149</v>
      </c>
      <c r="AJ130" s="35">
        <f t="shared" si="132"/>
        <v>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528.24910662660227</v>
      </c>
      <c r="AL130" s="57">
        <v>0</v>
      </c>
      <c r="AM130" s="57">
        <v>0</v>
      </c>
      <c r="AN130" s="61">
        <f t="shared" si="133"/>
        <v>2</v>
      </c>
      <c r="AO130" s="40">
        <f t="shared" si="147"/>
        <v>0</v>
      </c>
      <c r="AP130" s="40">
        <f t="shared" si="148"/>
        <v>0</v>
      </c>
      <c r="AQ130" s="44">
        <f t="shared" si="149"/>
        <v>1056.4982132532045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24</v>
      </c>
      <c r="G131" s="35">
        <f>SUMIFS(WORKING!$AC$3:$AC$6802,WORKING!$A$3:$A$6802,Results!$D$3,WORKING!$B$3:$B$6802,Results!A131,WORKING!$C$3:$C$6802,Results!C131)/1000</f>
        <v>17579.581920000001</v>
      </c>
      <c r="H131" s="35">
        <f t="shared" si="134"/>
        <v>732.48257999999998</v>
      </c>
      <c r="I131" s="187">
        <v>24</v>
      </c>
      <c r="J131" s="212">
        <v>16448</v>
      </c>
      <c r="K131" s="217">
        <f t="shared" si="135"/>
        <v>685.33333333333337</v>
      </c>
      <c r="L131" s="34">
        <f t="shared" si="128"/>
        <v>24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748.32201161596299</v>
      </c>
      <c r="N131" s="57">
        <v>0</v>
      </c>
      <c r="O131" s="57">
        <v>4</v>
      </c>
      <c r="P131" s="61">
        <f t="shared" si="129"/>
        <v>20</v>
      </c>
      <c r="Q131" s="40">
        <f t="shared" si="136"/>
        <v>0</v>
      </c>
      <c r="R131" s="40">
        <f t="shared" si="137"/>
        <v>-2993.288046463852</v>
      </c>
      <c r="S131" s="44">
        <f t="shared" si="138"/>
        <v>14966.440232319259</v>
      </c>
      <c r="T131" s="35">
        <f t="shared" si="139"/>
        <v>20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812.5436315468761</v>
      </c>
      <c r="V131" s="57">
        <v>0</v>
      </c>
      <c r="W131" s="57">
        <v>3</v>
      </c>
      <c r="X131" s="61">
        <f t="shared" si="130"/>
        <v>17</v>
      </c>
      <c r="Y131" s="40">
        <f t="shared" si="140"/>
        <v>0</v>
      </c>
      <c r="Z131" s="40">
        <f t="shared" si="141"/>
        <v>-2437.6308946406284</v>
      </c>
      <c r="AA131" s="44">
        <f t="shared" si="142"/>
        <v>13813.241736296894</v>
      </c>
      <c r="AB131" s="35">
        <f t="shared" si="143"/>
        <v>17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881.45224676794544</v>
      </c>
      <c r="AD131" s="57">
        <v>0</v>
      </c>
      <c r="AE131" s="57">
        <v>2</v>
      </c>
      <c r="AF131" s="61">
        <f t="shared" si="131"/>
        <v>15</v>
      </c>
      <c r="AG131" s="40">
        <f t="shared" si="144"/>
        <v>0</v>
      </c>
      <c r="AH131" s="40">
        <f t="shared" si="145"/>
        <v>-1762.9044935358909</v>
      </c>
      <c r="AI131" s="44">
        <f t="shared" si="146"/>
        <v>13221.783701519182</v>
      </c>
      <c r="AJ131" s="35">
        <f t="shared" si="132"/>
        <v>15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954.41575890936747</v>
      </c>
      <c r="AL131" s="57">
        <v>0</v>
      </c>
      <c r="AM131" s="57">
        <v>3</v>
      </c>
      <c r="AN131" s="61">
        <f t="shared" si="133"/>
        <v>12</v>
      </c>
      <c r="AO131" s="40">
        <f t="shared" si="147"/>
        <v>0</v>
      </c>
      <c r="AP131" s="40">
        <f t="shared" si="148"/>
        <v>-2863.2472767281024</v>
      </c>
      <c r="AQ131" s="44">
        <f t="shared" si="149"/>
        <v>11452.98910691241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13546.23237</v>
      </c>
      <c r="H132" s="35">
        <f t="shared" si="134"/>
        <v>1042.0178746153847</v>
      </c>
      <c r="I132" s="187">
        <v>14</v>
      </c>
      <c r="J132" s="212">
        <v>9255</v>
      </c>
      <c r="K132" s="217">
        <f t="shared" si="135"/>
        <v>661.07142857142856</v>
      </c>
      <c r="L132" s="34">
        <f t="shared" si="128"/>
        <v>14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693.0202037185162</v>
      </c>
      <c r="N132" s="57">
        <v>1</v>
      </c>
      <c r="O132" s="57">
        <v>1</v>
      </c>
      <c r="P132" s="61">
        <f t="shared" si="129"/>
        <v>14</v>
      </c>
      <c r="Q132" s="40">
        <f t="shared" si="136"/>
        <v>693.0202037185162</v>
      </c>
      <c r="R132" s="40">
        <f t="shared" si="137"/>
        <v>-693.0202037185162</v>
      </c>
      <c r="S132" s="44">
        <f t="shared" si="138"/>
        <v>9702.2828520592266</v>
      </c>
      <c r="T132" s="35">
        <f t="shared" si="139"/>
        <v>14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745.50223196261641</v>
      </c>
      <c r="V132" s="57">
        <v>0</v>
      </c>
      <c r="W132" s="57">
        <v>3</v>
      </c>
      <c r="X132" s="61">
        <f t="shared" si="130"/>
        <v>11</v>
      </c>
      <c r="Y132" s="40">
        <f t="shared" si="140"/>
        <v>0</v>
      </c>
      <c r="Z132" s="40">
        <f t="shared" si="141"/>
        <v>-2236.5066958878492</v>
      </c>
      <c r="AA132" s="44">
        <f t="shared" si="142"/>
        <v>8200.52455158878</v>
      </c>
      <c r="AB132" s="35">
        <f t="shared" si="143"/>
        <v>11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801.20212972993284</v>
      </c>
      <c r="AD132" s="57">
        <v>0</v>
      </c>
      <c r="AE132" s="57">
        <v>1</v>
      </c>
      <c r="AF132" s="61">
        <f t="shared" si="131"/>
        <v>10</v>
      </c>
      <c r="AG132" s="40">
        <f t="shared" si="144"/>
        <v>0</v>
      </c>
      <c r="AH132" s="40">
        <f t="shared" si="145"/>
        <v>-801.20212972993284</v>
      </c>
      <c r="AI132" s="44">
        <f t="shared" si="146"/>
        <v>8012.0212972993286</v>
      </c>
      <c r="AJ132" s="35">
        <f t="shared" si="132"/>
        <v>10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859.4374403535669</v>
      </c>
      <c r="AL132" s="57">
        <v>0</v>
      </c>
      <c r="AM132" s="57">
        <v>3</v>
      </c>
      <c r="AN132" s="61">
        <f t="shared" si="133"/>
        <v>7</v>
      </c>
      <c r="AO132" s="40">
        <f t="shared" si="147"/>
        <v>0</v>
      </c>
      <c r="AP132" s="40">
        <f t="shared" si="148"/>
        <v>-2578.3123210607009</v>
      </c>
      <c r="AQ132" s="44">
        <f t="shared" si="149"/>
        <v>6016.0620824749685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8</v>
      </c>
      <c r="G133" s="35">
        <f>SUMIFS(WORKING!$AC$3:$AC$6802,WORKING!$A$3:$A$6802,Results!$D$3,WORKING!$B$3:$B$6802,Results!A133,WORKING!$C$3:$C$6802,Results!C133)/1000</f>
        <v>7511.6567300000006</v>
      </c>
      <c r="H133" s="35">
        <f t="shared" si="134"/>
        <v>938.95709125000008</v>
      </c>
      <c r="I133" s="187">
        <v>8</v>
      </c>
      <c r="J133" s="212">
        <v>9968</v>
      </c>
      <c r="K133" s="217">
        <f t="shared" si="135"/>
        <v>1246</v>
      </c>
      <c r="L133" s="34">
        <f t="shared" si="128"/>
        <v>8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1306.0265203708361</v>
      </c>
      <c r="N133" s="57">
        <v>1</v>
      </c>
      <c r="O133" s="57">
        <v>0</v>
      </c>
      <c r="P133" s="61">
        <f t="shared" si="129"/>
        <v>9</v>
      </c>
      <c r="Q133" s="40">
        <f t="shared" si="136"/>
        <v>1306.0265203708361</v>
      </c>
      <c r="R133" s="40">
        <f t="shared" si="137"/>
        <v>0</v>
      </c>
      <c r="S133" s="44">
        <f t="shared" si="138"/>
        <v>11754.238683337526</v>
      </c>
      <c r="T133" s="35">
        <f t="shared" si="139"/>
        <v>9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1404.7255871075311</v>
      </c>
      <c r="V133" s="57">
        <v>0</v>
      </c>
      <c r="W133" s="57">
        <v>0</v>
      </c>
      <c r="X133" s="61">
        <f t="shared" si="130"/>
        <v>9</v>
      </c>
      <c r="Y133" s="40">
        <f t="shared" si="140"/>
        <v>0</v>
      </c>
      <c r="Z133" s="40">
        <f t="shared" si="141"/>
        <v>0</v>
      </c>
      <c r="AA133" s="44">
        <f t="shared" si="142"/>
        <v>12642.530283967779</v>
      </c>
      <c r="AB133" s="35">
        <f t="shared" si="143"/>
        <v>9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1509.4581801914653</v>
      </c>
      <c r="AD133" s="57">
        <v>0</v>
      </c>
      <c r="AE133" s="57">
        <v>0</v>
      </c>
      <c r="AF133" s="61">
        <f t="shared" si="131"/>
        <v>9</v>
      </c>
      <c r="AG133" s="40">
        <f t="shared" si="144"/>
        <v>0</v>
      </c>
      <c r="AH133" s="40">
        <f t="shared" si="145"/>
        <v>0</v>
      </c>
      <c r="AI133" s="44">
        <f t="shared" si="146"/>
        <v>13585.123621723187</v>
      </c>
      <c r="AJ133" s="35">
        <f t="shared" si="132"/>
        <v>9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1618.9360900553304</v>
      </c>
      <c r="AL133" s="57">
        <v>0</v>
      </c>
      <c r="AM133" s="57">
        <v>0</v>
      </c>
      <c r="AN133" s="61">
        <f t="shared" si="133"/>
        <v>9</v>
      </c>
      <c r="AO133" s="40">
        <f t="shared" si="147"/>
        <v>0</v>
      </c>
      <c r="AP133" s="40">
        <f t="shared" si="148"/>
        <v>0</v>
      </c>
      <c r="AQ133" s="44">
        <f t="shared" si="149"/>
        <v>14570.424810497974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2</v>
      </c>
      <c r="G134" s="35">
        <f>SUMIFS(WORKING!$AC$3:$AC$6802,WORKING!$A$3:$A$6802,Results!$D$3,WORKING!$B$3:$B$6802,Results!A134,WORKING!$C$3:$C$6802,Results!C134)/1000</f>
        <v>2673.5774999999999</v>
      </c>
      <c r="H134" s="35">
        <f t="shared" si="134"/>
        <v>1336.7887499999999</v>
      </c>
      <c r="I134" s="187">
        <v>1</v>
      </c>
      <c r="J134" s="212">
        <v>2691</v>
      </c>
      <c r="K134" s="217">
        <f t="shared" si="135"/>
        <v>2691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2820.6538087020299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2820.6538087020299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3033.8312402202541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3033.8312402202541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3260.0416337434572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3260.0416337434572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3496.5029663030705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3496.5029663030705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769.82961999999998</v>
      </c>
      <c r="H135" s="35">
        <f t="shared" si="134"/>
        <v>0</v>
      </c>
      <c r="I135" s="187">
        <v>0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86</v>
      </c>
      <c r="G140" s="41">
        <f>SUM(G120:G139)</f>
        <v>54644.130069999999</v>
      </c>
      <c r="H140" s="41">
        <f>IFERROR(G140/F140,0)</f>
        <v>635.39686127906975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86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54844.506239999995</v>
      </c>
      <c r="K140" s="41">
        <f>IFERROR(J140/I140,"")</f>
        <v>637.72681674418595</v>
      </c>
      <c r="L140" s="41">
        <f>SUM(L120:L139)</f>
        <v>86</v>
      </c>
      <c r="M140" s="41">
        <f>IFERROR(S140/P140,0)</f>
        <v>691.79170391843707</v>
      </c>
      <c r="N140" s="41">
        <f t="shared" ref="N140:T140" si="151">SUM(N120:N139)</f>
        <v>2</v>
      </c>
      <c r="O140" s="41">
        <f t="shared" si="151"/>
        <v>10</v>
      </c>
      <c r="P140" s="41">
        <f t="shared" si="151"/>
        <v>78</v>
      </c>
      <c r="Q140" s="41">
        <f t="shared" si="151"/>
        <v>1999.0467240893522</v>
      </c>
      <c r="R140" s="41">
        <f t="shared" si="151"/>
        <v>-6065.1629281006453</v>
      </c>
      <c r="S140" s="45">
        <f t="shared" si="151"/>
        <v>53959.752905638095</v>
      </c>
      <c r="T140" s="41">
        <f t="shared" si="151"/>
        <v>78</v>
      </c>
      <c r="U140" s="41">
        <f>IFERROR(AA140/X140,0)</f>
        <v>753.75225403067986</v>
      </c>
      <c r="V140" s="41">
        <f t="shared" ref="V140:AB140" si="152">SUM(V120:V139)</f>
        <v>0</v>
      </c>
      <c r="W140" s="41">
        <f t="shared" si="152"/>
        <v>10</v>
      </c>
      <c r="X140" s="41">
        <f t="shared" si="152"/>
        <v>68</v>
      </c>
      <c r="Y140" s="41">
        <f t="shared" si="152"/>
        <v>0</v>
      </c>
      <c r="Z140" s="41">
        <f t="shared" si="152"/>
        <v>-7070.0298703355584</v>
      </c>
      <c r="AA140" s="45">
        <f t="shared" si="152"/>
        <v>51255.153274086231</v>
      </c>
      <c r="AB140" s="41">
        <f t="shared" si="152"/>
        <v>68</v>
      </c>
      <c r="AC140" s="41">
        <f>IFERROR(AI140/AF140,0)</f>
        <v>825.6293954842256</v>
      </c>
      <c r="AD140" s="41">
        <f t="shared" ref="AD140:AJ140" si="153">SUM(AD120:AD139)</f>
        <v>0</v>
      </c>
      <c r="AE140" s="41">
        <f t="shared" si="153"/>
        <v>5</v>
      </c>
      <c r="AF140" s="41">
        <f t="shared" si="153"/>
        <v>63</v>
      </c>
      <c r="AG140" s="41">
        <f t="shared" si="153"/>
        <v>0</v>
      </c>
      <c r="AH140" s="41">
        <f t="shared" si="153"/>
        <v>-3325.4653455553985</v>
      </c>
      <c r="AI140" s="45">
        <f t="shared" si="153"/>
        <v>52014.651915506212</v>
      </c>
      <c r="AJ140" s="41">
        <f t="shared" si="153"/>
        <v>63</v>
      </c>
      <c r="AK140" s="41">
        <f>IFERROR(AQ140/AN140,0)</f>
        <v>896.30239485050231</v>
      </c>
      <c r="AL140" s="41">
        <f t="shared" ref="AL140:AQ140" si="154">SUM(AL120:AL139)</f>
        <v>0</v>
      </c>
      <c r="AM140" s="41">
        <f t="shared" si="154"/>
        <v>9</v>
      </c>
      <c r="AN140" s="41">
        <f t="shared" si="154"/>
        <v>54</v>
      </c>
      <c r="AO140" s="41">
        <f t="shared" si="154"/>
        <v>0</v>
      </c>
      <c r="AP140" s="41">
        <f t="shared" si="154"/>
        <v>-7647.383891832229</v>
      </c>
      <c r="AQ140" s="45">
        <f t="shared" si="154"/>
        <v>48400.329321927122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63573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61642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64796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69720.495999999999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9613.2470943619046</v>
      </c>
      <c r="T142" s="39"/>
      <c r="U142" s="39"/>
      <c r="V142" s="53"/>
      <c r="W142" s="53"/>
      <c r="X142" s="110"/>
      <c r="Y142" s="39"/>
      <c r="Z142" s="39"/>
      <c r="AA142" s="54">
        <f>AA141-AA140</f>
        <v>10386.846725913769</v>
      </c>
      <c r="AB142" s="39"/>
      <c r="AC142" s="53"/>
      <c r="AD142" s="53"/>
      <c r="AE142" s="110"/>
      <c r="AF142" s="39"/>
      <c r="AG142" s="39"/>
      <c r="AH142" s="39"/>
      <c r="AI142" s="54">
        <f>AI141-AI140</f>
        <v>12781.348084493788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21320.166678072877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Industrial Development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3</v>
      </c>
      <c r="G148" s="35">
        <f>SUMIFS(WORKING!$AC$3:$AC$6802,WORKING!$A$3:$A$6802,Results!$D$3,WORKING!$B$3:$B$6802,Results!A148,WORKING!$C$3:$C$6802,Results!C148)/1000</f>
        <v>174</v>
      </c>
      <c r="H148" s="35">
        <f>IFERROR(G148/F148,0)</f>
        <v>58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63.344119999999997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68.794881525999983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74.644854276563379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80.840750405789507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4</v>
      </c>
      <c r="G149" s="35">
        <f>SUMIFS(WORKING!$AC$3:$AC$6802,WORKING!$A$3:$A$6802,Results!$D$3,WORKING!$B$3:$B$6802,Results!A149,WORKING!$C$3:$C$6802,Results!C149)/1000</f>
        <v>370.52328999999997</v>
      </c>
      <c r="H149" s="35">
        <f t="shared" ref="H149:H167" si="161">IFERROR(G149/F149,0)</f>
        <v>92.630822499999994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101.16582648514999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109.87114585419714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119.21403874190877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129.10940002768089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7</v>
      </c>
      <c r="J150" s="212">
        <v>1019</v>
      </c>
      <c r="K150" s="217">
        <f t="shared" si="162"/>
        <v>145.57142857142858</v>
      </c>
      <c r="L150" s="34">
        <f t="shared" si="155"/>
        <v>7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156.31863007524279</v>
      </c>
      <c r="N150" s="57">
        <v>0</v>
      </c>
      <c r="O150" s="57">
        <v>0</v>
      </c>
      <c r="P150" s="61">
        <f t="shared" si="156"/>
        <v>7</v>
      </c>
      <c r="Q150" s="40">
        <f t="shared" si="163"/>
        <v>0</v>
      </c>
      <c r="R150" s="40">
        <f t="shared" si="164"/>
        <v>0</v>
      </c>
      <c r="S150" s="44">
        <f t="shared" si="165"/>
        <v>1094.2304105266996</v>
      </c>
      <c r="T150" s="35">
        <f t="shared" si="166"/>
        <v>7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167.26611132833474</v>
      </c>
      <c r="V150" s="57">
        <v>0</v>
      </c>
      <c r="W150" s="57">
        <v>0</v>
      </c>
      <c r="X150" s="61">
        <f t="shared" si="157"/>
        <v>7</v>
      </c>
      <c r="Y150" s="40">
        <f t="shared" si="167"/>
        <v>0</v>
      </c>
      <c r="Z150" s="40">
        <f t="shared" si="168"/>
        <v>0</v>
      </c>
      <c r="AA150" s="44">
        <f t="shared" si="169"/>
        <v>1170.8627792983432</v>
      </c>
      <c r="AB150" s="35">
        <f t="shared" si="170"/>
        <v>7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178.81301272962557</v>
      </c>
      <c r="AD150" s="57">
        <v>0</v>
      </c>
      <c r="AE150" s="57">
        <v>0</v>
      </c>
      <c r="AF150" s="61">
        <f t="shared" si="158"/>
        <v>7</v>
      </c>
      <c r="AG150" s="40">
        <f t="shared" si="171"/>
        <v>0</v>
      </c>
      <c r="AH150" s="40">
        <f t="shared" si="172"/>
        <v>0</v>
      </c>
      <c r="AI150" s="44">
        <f t="shared" si="173"/>
        <v>1251.691089107379</v>
      </c>
      <c r="AJ150" s="35">
        <f t="shared" si="159"/>
        <v>7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190.79940672627214</v>
      </c>
      <c r="AL150" s="57">
        <v>0</v>
      </c>
      <c r="AM150" s="57">
        <v>0</v>
      </c>
      <c r="AN150" s="61">
        <f t="shared" si="160"/>
        <v>7</v>
      </c>
      <c r="AO150" s="40">
        <f t="shared" si="174"/>
        <v>0</v>
      </c>
      <c r="AP150" s="40">
        <f t="shared" si="175"/>
        <v>0</v>
      </c>
      <c r="AQ150" s="44">
        <f t="shared" si="176"/>
        <v>1335.595847083905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0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>
        <v>0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15</v>
      </c>
      <c r="G154" s="35">
        <f>SUMIFS(WORKING!$AC$3:$AC$6802,WORKING!$A$3:$A$6802,Results!$D$3,WORKING!$B$3:$B$6802,Results!A154,WORKING!$C$3:$C$6802,Results!C154)/1000</f>
        <v>4018.6839600000003</v>
      </c>
      <c r="H154" s="35">
        <f t="shared" si="161"/>
        <v>267.91226399999999</v>
      </c>
      <c r="I154" s="187">
        <v>14</v>
      </c>
      <c r="J154" s="212">
        <v>4199</v>
      </c>
      <c r="K154" s="217">
        <f t="shared" si="162"/>
        <v>299.92857142857144</v>
      </c>
      <c r="L154" s="34">
        <f t="shared" si="155"/>
        <v>14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326.34568731561251</v>
      </c>
      <c r="N154" s="57">
        <v>0</v>
      </c>
      <c r="O154" s="57">
        <v>1</v>
      </c>
      <c r="P154" s="61">
        <f t="shared" si="156"/>
        <v>13</v>
      </c>
      <c r="Q154" s="40">
        <f t="shared" si="163"/>
        <v>0</v>
      </c>
      <c r="R154" s="40">
        <f t="shared" si="164"/>
        <v>-326.34568731561251</v>
      </c>
      <c r="S154" s="44">
        <f t="shared" si="165"/>
        <v>4242.4939351029625</v>
      </c>
      <c r="T154" s="35">
        <f t="shared" si="166"/>
        <v>13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354.04958707874351</v>
      </c>
      <c r="V154" s="57">
        <v>0</v>
      </c>
      <c r="W154" s="57">
        <v>0</v>
      </c>
      <c r="X154" s="61">
        <f t="shared" si="157"/>
        <v>13</v>
      </c>
      <c r="Y154" s="40">
        <f t="shared" si="167"/>
        <v>0</v>
      </c>
      <c r="Z154" s="40">
        <f t="shared" si="168"/>
        <v>0</v>
      </c>
      <c r="AA154" s="44">
        <f t="shared" si="169"/>
        <v>4602.6446320236655</v>
      </c>
      <c r="AB154" s="35">
        <f t="shared" si="170"/>
        <v>13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383.74642666716022</v>
      </c>
      <c r="AD154" s="57">
        <v>0</v>
      </c>
      <c r="AE154" s="57">
        <v>2</v>
      </c>
      <c r="AF154" s="61">
        <f t="shared" si="158"/>
        <v>11</v>
      </c>
      <c r="AG154" s="40">
        <f t="shared" si="171"/>
        <v>0</v>
      </c>
      <c r="AH154" s="40">
        <f t="shared" si="172"/>
        <v>-767.49285333432044</v>
      </c>
      <c r="AI154" s="44">
        <f t="shared" si="173"/>
        <v>4221.2106933387622</v>
      </c>
      <c r="AJ154" s="35">
        <f t="shared" si="159"/>
        <v>11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415.1562040124042</v>
      </c>
      <c r="AL154" s="57">
        <v>0</v>
      </c>
      <c r="AM154" s="57">
        <v>0</v>
      </c>
      <c r="AN154" s="61">
        <f t="shared" si="160"/>
        <v>11</v>
      </c>
      <c r="AO154" s="40">
        <f t="shared" si="174"/>
        <v>0</v>
      </c>
      <c r="AP154" s="40">
        <f t="shared" si="175"/>
        <v>0</v>
      </c>
      <c r="AQ154" s="44">
        <f t="shared" si="176"/>
        <v>4566.7182441364466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23</v>
      </c>
      <c r="G155" s="35">
        <f>SUMIFS(WORKING!$AC$3:$AC$6802,WORKING!$A$3:$A$6802,Results!$D$3,WORKING!$B$3:$B$6802,Results!A155,WORKING!$C$3:$C$6802,Results!C155)/1000</f>
        <v>7373.3692099999989</v>
      </c>
      <c r="H155" s="35">
        <f t="shared" si="161"/>
        <v>320.58126999999996</v>
      </c>
      <c r="I155" s="187">
        <v>23</v>
      </c>
      <c r="J155" s="212">
        <v>8281</v>
      </c>
      <c r="K155" s="217">
        <f t="shared" si="162"/>
        <v>360.04347826086956</v>
      </c>
      <c r="L155" s="34">
        <f t="shared" si="155"/>
        <v>23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392.41381236644446</v>
      </c>
      <c r="N155" s="57">
        <v>0</v>
      </c>
      <c r="O155" s="57">
        <v>3</v>
      </c>
      <c r="P155" s="61">
        <f t="shared" si="156"/>
        <v>20</v>
      </c>
      <c r="Q155" s="40">
        <f t="shared" si="163"/>
        <v>0</v>
      </c>
      <c r="R155" s="40">
        <f t="shared" si="164"/>
        <v>-1177.2414370993333</v>
      </c>
      <c r="S155" s="44">
        <f t="shared" si="165"/>
        <v>7848.2762473288894</v>
      </c>
      <c r="T155" s="35">
        <f t="shared" si="166"/>
        <v>20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425.92983018585556</v>
      </c>
      <c r="V155" s="57">
        <v>0</v>
      </c>
      <c r="W155" s="57">
        <v>6</v>
      </c>
      <c r="X155" s="61">
        <f t="shared" si="157"/>
        <v>14</v>
      </c>
      <c r="Y155" s="40">
        <f t="shared" si="167"/>
        <v>0</v>
      </c>
      <c r="Z155" s="40">
        <f t="shared" si="168"/>
        <v>-2555.5789811151335</v>
      </c>
      <c r="AA155" s="44">
        <f t="shared" si="169"/>
        <v>5963.0176226019776</v>
      </c>
      <c r="AB155" s="35">
        <f t="shared" si="170"/>
        <v>14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461.87650226463137</v>
      </c>
      <c r="AD155" s="57">
        <v>0</v>
      </c>
      <c r="AE155" s="57">
        <v>0</v>
      </c>
      <c r="AF155" s="61">
        <f t="shared" si="158"/>
        <v>14</v>
      </c>
      <c r="AG155" s="40">
        <f t="shared" si="171"/>
        <v>0</v>
      </c>
      <c r="AH155" s="40">
        <f t="shared" si="172"/>
        <v>0</v>
      </c>
      <c r="AI155" s="44">
        <f t="shared" si="173"/>
        <v>6466.2710317048395</v>
      </c>
      <c r="AJ155" s="35">
        <f t="shared" si="159"/>
        <v>14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499.92012263996014</v>
      </c>
      <c r="AL155" s="57">
        <v>0</v>
      </c>
      <c r="AM155" s="57">
        <v>4</v>
      </c>
      <c r="AN155" s="61">
        <f t="shared" si="160"/>
        <v>10</v>
      </c>
      <c r="AO155" s="40">
        <f t="shared" si="174"/>
        <v>0</v>
      </c>
      <c r="AP155" s="40">
        <f t="shared" si="175"/>
        <v>-1999.6804905598406</v>
      </c>
      <c r="AQ155" s="44">
        <f t="shared" si="176"/>
        <v>4999.2012263996012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</v>
      </c>
      <c r="G156" s="35">
        <f>SUMIFS(WORKING!$AC$3:$AC$6802,WORKING!$A$3:$A$6802,Results!$D$3,WORKING!$B$3:$B$6802,Results!A156,WORKING!$C$3:$C$6802,Results!C156)/1000</f>
        <v>548.61979999999994</v>
      </c>
      <c r="H156" s="35">
        <f t="shared" si="161"/>
        <v>548.61979999999994</v>
      </c>
      <c r="I156" s="187">
        <v>1</v>
      </c>
      <c r="J156" s="212">
        <v>454</v>
      </c>
      <c r="K156" s="217">
        <f t="shared" si="162"/>
        <v>454</v>
      </c>
      <c r="L156" s="34">
        <f t="shared" si="155"/>
        <v>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495.60330580247359</v>
      </c>
      <c r="N156" s="57">
        <v>0</v>
      </c>
      <c r="O156" s="57">
        <v>0</v>
      </c>
      <c r="P156" s="61">
        <f t="shared" si="156"/>
        <v>1</v>
      </c>
      <c r="Q156" s="40">
        <f t="shared" si="163"/>
        <v>0</v>
      </c>
      <c r="R156" s="40">
        <f t="shared" si="164"/>
        <v>0</v>
      </c>
      <c r="S156" s="44">
        <f t="shared" si="165"/>
        <v>495.60330580247359</v>
      </c>
      <c r="T156" s="35">
        <f t="shared" si="166"/>
        <v>1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538.17593234480182</v>
      </c>
      <c r="V156" s="57">
        <v>0</v>
      </c>
      <c r="W156" s="57">
        <v>0</v>
      </c>
      <c r="X156" s="61">
        <f t="shared" si="157"/>
        <v>1</v>
      </c>
      <c r="Y156" s="40">
        <f t="shared" si="167"/>
        <v>0</v>
      </c>
      <c r="Z156" s="40">
        <f t="shared" si="168"/>
        <v>0</v>
      </c>
      <c r="AA156" s="44">
        <f t="shared" si="169"/>
        <v>538.17593234480182</v>
      </c>
      <c r="AB156" s="35">
        <f t="shared" si="170"/>
        <v>1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583.8595367922037</v>
      </c>
      <c r="AD156" s="57">
        <v>0</v>
      </c>
      <c r="AE156" s="57">
        <v>0</v>
      </c>
      <c r="AF156" s="61">
        <f t="shared" si="158"/>
        <v>1</v>
      </c>
      <c r="AG156" s="40">
        <f t="shared" si="171"/>
        <v>0</v>
      </c>
      <c r="AH156" s="40">
        <f t="shared" si="172"/>
        <v>0</v>
      </c>
      <c r="AI156" s="44">
        <f t="shared" si="173"/>
        <v>583.8595367922037</v>
      </c>
      <c r="AJ156" s="35">
        <f t="shared" si="159"/>
        <v>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632.23626471744478</v>
      </c>
      <c r="AL156" s="57">
        <v>0</v>
      </c>
      <c r="AM156" s="57">
        <v>0</v>
      </c>
      <c r="AN156" s="61">
        <f t="shared" si="160"/>
        <v>1</v>
      </c>
      <c r="AO156" s="40">
        <f t="shared" si="174"/>
        <v>0</v>
      </c>
      <c r="AP156" s="40">
        <f t="shared" si="175"/>
        <v>0</v>
      </c>
      <c r="AQ156" s="44">
        <f t="shared" si="176"/>
        <v>632.23626471744478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23</v>
      </c>
      <c r="G157" s="35">
        <f>SUMIFS(WORKING!$AC$3:$AC$6802,WORKING!$A$3:$A$6802,Results!$D$3,WORKING!$B$3:$B$6802,Results!A157,WORKING!$C$3:$C$6802,Results!C157)/1000</f>
        <v>10654.36586</v>
      </c>
      <c r="H157" s="35">
        <f t="shared" si="161"/>
        <v>463.23329826086956</v>
      </c>
      <c r="I157" s="187">
        <v>24</v>
      </c>
      <c r="J157" s="212">
        <v>11590</v>
      </c>
      <c r="K157" s="217">
        <f t="shared" si="162"/>
        <v>482.91666666666669</v>
      </c>
      <c r="L157" s="34">
        <f t="shared" si="155"/>
        <v>24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526.42847329686413</v>
      </c>
      <c r="N157" s="57">
        <v>0</v>
      </c>
      <c r="O157" s="57">
        <v>4</v>
      </c>
      <c r="P157" s="61">
        <f t="shared" si="156"/>
        <v>20</v>
      </c>
      <c r="Q157" s="40">
        <f t="shared" si="163"/>
        <v>0</v>
      </c>
      <c r="R157" s="40">
        <f t="shared" si="164"/>
        <v>-2105.7138931874565</v>
      </c>
      <c r="S157" s="44">
        <f t="shared" si="165"/>
        <v>10528.569465937282</v>
      </c>
      <c r="T157" s="35">
        <f t="shared" si="166"/>
        <v>20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571.42152303636215</v>
      </c>
      <c r="V157" s="57">
        <v>0</v>
      </c>
      <c r="W157" s="57">
        <v>4</v>
      </c>
      <c r="X157" s="61">
        <f t="shared" si="157"/>
        <v>16</v>
      </c>
      <c r="Y157" s="40">
        <f t="shared" si="167"/>
        <v>0</v>
      </c>
      <c r="Z157" s="40">
        <f t="shared" si="168"/>
        <v>-2285.6860921454486</v>
      </c>
      <c r="AA157" s="44">
        <f t="shared" si="169"/>
        <v>9142.7443685817943</v>
      </c>
      <c r="AB157" s="35">
        <f t="shared" si="170"/>
        <v>16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619.68046589841595</v>
      </c>
      <c r="AD157" s="57">
        <v>0</v>
      </c>
      <c r="AE157" s="57">
        <v>3</v>
      </c>
      <c r="AF157" s="61">
        <f t="shared" si="158"/>
        <v>13</v>
      </c>
      <c r="AG157" s="40">
        <f t="shared" si="171"/>
        <v>0</v>
      </c>
      <c r="AH157" s="40">
        <f t="shared" si="172"/>
        <v>-1859.0413976952477</v>
      </c>
      <c r="AI157" s="44">
        <f t="shared" si="173"/>
        <v>8055.8460566794074</v>
      </c>
      <c r="AJ157" s="35">
        <f t="shared" si="159"/>
        <v>13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670.75798997515597</v>
      </c>
      <c r="AL157" s="57">
        <v>0</v>
      </c>
      <c r="AM157" s="57">
        <v>2</v>
      </c>
      <c r="AN157" s="61">
        <f t="shared" si="160"/>
        <v>11</v>
      </c>
      <c r="AO157" s="40">
        <f t="shared" si="174"/>
        <v>0</v>
      </c>
      <c r="AP157" s="40">
        <f t="shared" si="175"/>
        <v>-1341.5159799503119</v>
      </c>
      <c r="AQ157" s="44">
        <f t="shared" si="176"/>
        <v>7378.3378897267157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2</v>
      </c>
      <c r="G158" s="35">
        <f>SUMIFS(WORKING!$AC$3:$AC$6802,WORKING!$A$3:$A$6802,Results!$D$3,WORKING!$B$3:$B$6802,Results!A158,WORKING!$C$3:$C$6802,Results!C158)/1000</f>
        <v>2131.9793599999998</v>
      </c>
      <c r="H158" s="35">
        <f t="shared" si="161"/>
        <v>1065.9896799999999</v>
      </c>
      <c r="I158" s="187">
        <v>1</v>
      </c>
      <c r="J158" s="212">
        <v>646</v>
      </c>
      <c r="K158" s="217">
        <f t="shared" si="162"/>
        <v>646</v>
      </c>
      <c r="L158" s="34">
        <f t="shared" si="155"/>
        <v>1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705.35242625145986</v>
      </c>
      <c r="N158" s="57">
        <v>0</v>
      </c>
      <c r="O158" s="57">
        <v>0</v>
      </c>
      <c r="P158" s="61">
        <f t="shared" si="156"/>
        <v>1</v>
      </c>
      <c r="Q158" s="40">
        <f t="shared" si="163"/>
        <v>0</v>
      </c>
      <c r="R158" s="40">
        <f t="shared" si="164"/>
        <v>0</v>
      </c>
      <c r="S158" s="44">
        <f t="shared" si="165"/>
        <v>705.35242625145986</v>
      </c>
      <c r="T158" s="35">
        <f t="shared" si="166"/>
        <v>1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765.86340359337214</v>
      </c>
      <c r="V158" s="57">
        <v>0</v>
      </c>
      <c r="W158" s="57">
        <v>0</v>
      </c>
      <c r="X158" s="61">
        <f t="shared" si="157"/>
        <v>1</v>
      </c>
      <c r="Y158" s="40">
        <f t="shared" si="167"/>
        <v>0</v>
      </c>
      <c r="Z158" s="40">
        <f t="shared" si="168"/>
        <v>0</v>
      </c>
      <c r="AA158" s="44">
        <f t="shared" si="169"/>
        <v>765.86340359337214</v>
      </c>
      <c r="AB158" s="35">
        <f t="shared" si="170"/>
        <v>1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830.78835007683733</v>
      </c>
      <c r="AD158" s="57">
        <v>0</v>
      </c>
      <c r="AE158" s="57">
        <v>0</v>
      </c>
      <c r="AF158" s="61">
        <f t="shared" si="158"/>
        <v>1</v>
      </c>
      <c r="AG158" s="40">
        <f t="shared" si="171"/>
        <v>0</v>
      </c>
      <c r="AH158" s="40">
        <f t="shared" si="172"/>
        <v>0</v>
      </c>
      <c r="AI158" s="44">
        <f t="shared" si="173"/>
        <v>830.78835007683733</v>
      </c>
      <c r="AJ158" s="35">
        <f t="shared" si="159"/>
        <v>1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899.53111970552277</v>
      </c>
      <c r="AL158" s="57">
        <v>0</v>
      </c>
      <c r="AM158" s="57">
        <v>0</v>
      </c>
      <c r="AN158" s="61">
        <f t="shared" si="160"/>
        <v>1</v>
      </c>
      <c r="AO158" s="40">
        <f t="shared" si="174"/>
        <v>0</v>
      </c>
      <c r="AP158" s="40">
        <f t="shared" si="175"/>
        <v>0</v>
      </c>
      <c r="AQ158" s="44">
        <f t="shared" si="176"/>
        <v>899.53111970552277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44</v>
      </c>
      <c r="G159" s="35">
        <f>SUMIFS(WORKING!$AC$3:$AC$6802,WORKING!$A$3:$A$6802,Results!$D$3,WORKING!$B$3:$B$6802,Results!A159,WORKING!$C$3:$C$6802,Results!C159)/1000</f>
        <v>29968.348969999992</v>
      </c>
      <c r="H159" s="35">
        <f t="shared" si="161"/>
        <v>681.09884022727249</v>
      </c>
      <c r="I159" s="187">
        <v>43</v>
      </c>
      <c r="J159" s="212">
        <v>31182</v>
      </c>
      <c r="K159" s="217">
        <f t="shared" si="162"/>
        <v>725.16279069767438</v>
      </c>
      <c r="L159" s="34">
        <f t="shared" si="155"/>
        <v>43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791.80448292316453</v>
      </c>
      <c r="N159" s="57">
        <v>0</v>
      </c>
      <c r="O159" s="57">
        <v>6</v>
      </c>
      <c r="P159" s="61">
        <f t="shared" si="156"/>
        <v>37</v>
      </c>
      <c r="Q159" s="40">
        <f t="shared" si="163"/>
        <v>0</v>
      </c>
      <c r="R159" s="40">
        <f t="shared" si="164"/>
        <v>-4750.8268975389874</v>
      </c>
      <c r="S159" s="44">
        <f t="shared" si="165"/>
        <v>29296.765868157087</v>
      </c>
      <c r="T159" s="35">
        <f t="shared" si="166"/>
        <v>37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859.7494511043061</v>
      </c>
      <c r="V159" s="57">
        <v>0</v>
      </c>
      <c r="W159" s="57">
        <v>3</v>
      </c>
      <c r="X159" s="61">
        <f t="shared" si="157"/>
        <v>34</v>
      </c>
      <c r="Y159" s="40">
        <f t="shared" si="167"/>
        <v>0</v>
      </c>
      <c r="Z159" s="40">
        <f t="shared" si="168"/>
        <v>-2579.2483533129184</v>
      </c>
      <c r="AA159" s="44">
        <f t="shared" si="169"/>
        <v>29231.481337546407</v>
      </c>
      <c r="AB159" s="35">
        <f t="shared" si="170"/>
        <v>34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932.65234327471364</v>
      </c>
      <c r="AD159" s="57">
        <v>0</v>
      </c>
      <c r="AE159" s="57">
        <v>3</v>
      </c>
      <c r="AF159" s="61">
        <f t="shared" si="158"/>
        <v>31</v>
      </c>
      <c r="AG159" s="40">
        <f t="shared" si="171"/>
        <v>0</v>
      </c>
      <c r="AH159" s="40">
        <f t="shared" si="172"/>
        <v>-2797.957029824141</v>
      </c>
      <c r="AI159" s="44">
        <f t="shared" si="173"/>
        <v>28912.222641516124</v>
      </c>
      <c r="AJ159" s="35">
        <f t="shared" si="159"/>
        <v>31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1009.8442069144701</v>
      </c>
      <c r="AL159" s="57">
        <v>0</v>
      </c>
      <c r="AM159" s="57">
        <v>4</v>
      </c>
      <c r="AN159" s="61">
        <f t="shared" si="160"/>
        <v>27</v>
      </c>
      <c r="AO159" s="40">
        <f t="shared" si="174"/>
        <v>0</v>
      </c>
      <c r="AP159" s="40">
        <f t="shared" si="175"/>
        <v>-4039.3768276578803</v>
      </c>
      <c r="AQ159" s="44">
        <f t="shared" si="176"/>
        <v>27265.793586690692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31</v>
      </c>
      <c r="G160" s="35">
        <f>SUMIFS(WORKING!$AC$3:$AC$6802,WORKING!$A$3:$A$6802,Results!$D$3,WORKING!$B$3:$B$6802,Results!A160,WORKING!$C$3:$C$6802,Results!C160)/1000</f>
        <v>27426.195110000001</v>
      </c>
      <c r="H160" s="35">
        <f t="shared" si="161"/>
        <v>884.71597129032261</v>
      </c>
      <c r="I160" s="187">
        <v>31</v>
      </c>
      <c r="J160" s="212">
        <v>26936</v>
      </c>
      <c r="K160" s="217">
        <f t="shared" si="162"/>
        <v>868.90322580645159</v>
      </c>
      <c r="L160" s="34">
        <f t="shared" si="155"/>
        <v>31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910.80033740417355</v>
      </c>
      <c r="N160" s="57">
        <v>0</v>
      </c>
      <c r="O160" s="57">
        <v>5</v>
      </c>
      <c r="P160" s="61">
        <f t="shared" si="156"/>
        <v>26</v>
      </c>
      <c r="Q160" s="40">
        <f t="shared" si="163"/>
        <v>0</v>
      </c>
      <c r="R160" s="40">
        <f t="shared" si="164"/>
        <v>-4554.0016870208674</v>
      </c>
      <c r="S160" s="44">
        <f t="shared" si="165"/>
        <v>23680.808772508513</v>
      </c>
      <c r="T160" s="35">
        <f t="shared" si="166"/>
        <v>26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979.67155830662057</v>
      </c>
      <c r="V160" s="57">
        <v>0</v>
      </c>
      <c r="W160" s="57">
        <v>3</v>
      </c>
      <c r="X160" s="61">
        <f t="shared" si="157"/>
        <v>23</v>
      </c>
      <c r="Y160" s="40">
        <f t="shared" si="167"/>
        <v>0</v>
      </c>
      <c r="Z160" s="40">
        <f t="shared" si="168"/>
        <v>-2939.0146749198616</v>
      </c>
      <c r="AA160" s="44">
        <f t="shared" si="169"/>
        <v>22532.445841052275</v>
      </c>
      <c r="AB160" s="35">
        <f t="shared" si="170"/>
        <v>23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1052.7564519325501</v>
      </c>
      <c r="AD160" s="57">
        <v>0</v>
      </c>
      <c r="AE160" s="57">
        <v>2</v>
      </c>
      <c r="AF160" s="61">
        <f t="shared" si="158"/>
        <v>21</v>
      </c>
      <c r="AG160" s="40">
        <f t="shared" si="171"/>
        <v>0</v>
      </c>
      <c r="AH160" s="40">
        <f t="shared" si="172"/>
        <v>-2105.5129038651003</v>
      </c>
      <c r="AI160" s="44">
        <f t="shared" si="173"/>
        <v>22107.885490583554</v>
      </c>
      <c r="AJ160" s="35">
        <f t="shared" si="159"/>
        <v>21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1129.1570509301907</v>
      </c>
      <c r="AL160" s="57">
        <v>0</v>
      </c>
      <c r="AM160" s="57">
        <v>1</v>
      </c>
      <c r="AN160" s="61">
        <f t="shared" si="160"/>
        <v>20</v>
      </c>
      <c r="AO160" s="40">
        <f t="shared" si="174"/>
        <v>0</v>
      </c>
      <c r="AP160" s="40">
        <f t="shared" si="175"/>
        <v>-1129.1570509301907</v>
      </c>
      <c r="AQ160" s="44">
        <f t="shared" si="176"/>
        <v>22583.141018603816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13</v>
      </c>
      <c r="G161" s="35">
        <f>SUMIFS(WORKING!$AC$3:$AC$6802,WORKING!$A$3:$A$6802,Results!$D$3,WORKING!$B$3:$B$6802,Results!A161,WORKING!$C$3:$C$6802,Results!C161)/1000</f>
        <v>14718.224310000001</v>
      </c>
      <c r="H161" s="35">
        <f t="shared" si="161"/>
        <v>1132.1711007692309</v>
      </c>
      <c r="I161" s="187">
        <v>13</v>
      </c>
      <c r="J161" s="212">
        <v>13706</v>
      </c>
      <c r="K161" s="217">
        <f t="shared" si="162"/>
        <v>1054.3076923076924</v>
      </c>
      <c r="L161" s="34">
        <f t="shared" si="155"/>
        <v>13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1105.2843056492363</v>
      </c>
      <c r="N161" s="57">
        <v>0</v>
      </c>
      <c r="O161" s="57">
        <v>0</v>
      </c>
      <c r="P161" s="61">
        <f t="shared" si="156"/>
        <v>13</v>
      </c>
      <c r="Q161" s="40">
        <f t="shared" si="163"/>
        <v>0</v>
      </c>
      <c r="R161" s="40">
        <f t="shared" si="164"/>
        <v>0</v>
      </c>
      <c r="S161" s="44">
        <f t="shared" si="165"/>
        <v>14368.695973440072</v>
      </c>
      <c r="T161" s="35">
        <f t="shared" si="166"/>
        <v>13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1189.0118290499331</v>
      </c>
      <c r="V161" s="57">
        <v>0</v>
      </c>
      <c r="W161" s="57">
        <v>0</v>
      </c>
      <c r="X161" s="61">
        <f t="shared" si="157"/>
        <v>13</v>
      </c>
      <c r="Y161" s="40">
        <f t="shared" si="167"/>
        <v>0</v>
      </c>
      <c r="Z161" s="40">
        <f t="shared" si="168"/>
        <v>0</v>
      </c>
      <c r="AA161" s="44">
        <f t="shared" si="169"/>
        <v>15457.153777649131</v>
      </c>
      <c r="AB161" s="35">
        <f t="shared" si="170"/>
        <v>13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1277.8752008036906</v>
      </c>
      <c r="AD161" s="57">
        <v>0</v>
      </c>
      <c r="AE161" s="57">
        <v>0</v>
      </c>
      <c r="AF161" s="61">
        <f t="shared" si="158"/>
        <v>13</v>
      </c>
      <c r="AG161" s="40">
        <f t="shared" si="171"/>
        <v>0</v>
      </c>
      <c r="AH161" s="40">
        <f t="shared" si="172"/>
        <v>0</v>
      </c>
      <c r="AI161" s="44">
        <f t="shared" si="173"/>
        <v>16612.377610447977</v>
      </c>
      <c r="AJ161" s="35">
        <f t="shared" si="159"/>
        <v>13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1370.7862390472842</v>
      </c>
      <c r="AL161" s="57">
        <v>0</v>
      </c>
      <c r="AM161" s="57">
        <v>2</v>
      </c>
      <c r="AN161" s="61">
        <f t="shared" si="160"/>
        <v>11</v>
      </c>
      <c r="AO161" s="40">
        <f t="shared" si="174"/>
        <v>0</v>
      </c>
      <c r="AP161" s="40">
        <f t="shared" si="175"/>
        <v>-2741.5724780945684</v>
      </c>
      <c r="AQ161" s="44">
        <f t="shared" si="176"/>
        <v>15078.648629520127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1293.21704</v>
      </c>
      <c r="H162" s="35">
        <f t="shared" si="161"/>
        <v>1293.21704</v>
      </c>
      <c r="I162" s="187">
        <v>1</v>
      </c>
      <c r="J162" s="212">
        <v>1589</v>
      </c>
      <c r="K162" s="217">
        <f t="shared" si="162"/>
        <v>1589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1665.9169437038574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1665.9169437038574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1792.2076930876894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1792.2076930876894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1926.2534249817106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1926.2534249817106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2066.4149626221792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2066.4149626221792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160</v>
      </c>
      <c r="G168" s="41">
        <f>SUM(G148:G167)</f>
        <v>98677.52691</v>
      </c>
      <c r="H168" s="41">
        <f>IFERROR(G168/F168,0)</f>
        <v>616.73454318749998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158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99602</v>
      </c>
      <c r="K168" s="41">
        <f>IFERROR(J168/I168,"")</f>
        <v>630.39240506329111</v>
      </c>
      <c r="L168" s="41">
        <f>SUM(L148:L167)</f>
        <v>158</v>
      </c>
      <c r="M168" s="41">
        <f>IFERROR(S168/P168,0)</f>
        <v>675.73175071049855</v>
      </c>
      <c r="N168" s="41">
        <f t="shared" ref="N168:T168" si="177">SUM(N148:N167)</f>
        <v>0</v>
      </c>
      <c r="O168" s="41">
        <f t="shared" si="177"/>
        <v>19</v>
      </c>
      <c r="P168" s="41">
        <f t="shared" si="177"/>
        <v>139</v>
      </c>
      <c r="Q168" s="41">
        <f t="shared" si="177"/>
        <v>0</v>
      </c>
      <c r="R168" s="41">
        <f t="shared" si="177"/>
        <v>-12914.129602162257</v>
      </c>
      <c r="S168" s="45">
        <f t="shared" si="177"/>
        <v>93926.713348759295</v>
      </c>
      <c r="T168" s="41">
        <f t="shared" si="177"/>
        <v>139</v>
      </c>
      <c r="U168" s="41">
        <f>IFERROR(AA168/X168,0)</f>
        <v>741.43575112015822</v>
      </c>
      <c r="V168" s="41">
        <f t="shared" ref="V168:AB168" si="178">SUM(V148:V167)</f>
        <v>0</v>
      </c>
      <c r="W168" s="41">
        <f t="shared" si="178"/>
        <v>16</v>
      </c>
      <c r="X168" s="41">
        <f t="shared" si="178"/>
        <v>123</v>
      </c>
      <c r="Y168" s="41">
        <f t="shared" si="178"/>
        <v>0</v>
      </c>
      <c r="Z168" s="41">
        <f t="shared" si="178"/>
        <v>-10359.528101493361</v>
      </c>
      <c r="AA168" s="45">
        <f t="shared" si="178"/>
        <v>91196.59738777946</v>
      </c>
      <c r="AB168" s="41">
        <f t="shared" si="178"/>
        <v>123</v>
      </c>
      <c r="AC168" s="41">
        <f>IFERROR(AI168/AF168,0)</f>
        <v>805.03014093122817</v>
      </c>
      <c r="AD168" s="41">
        <f t="shared" ref="AD168:AJ168" si="179">SUM(AD148:AD167)</f>
        <v>0</v>
      </c>
      <c r="AE168" s="41">
        <f t="shared" si="179"/>
        <v>10</v>
      </c>
      <c r="AF168" s="41">
        <f t="shared" si="179"/>
        <v>113</v>
      </c>
      <c r="AG168" s="41">
        <f t="shared" si="179"/>
        <v>0</v>
      </c>
      <c r="AH168" s="41">
        <f t="shared" si="179"/>
        <v>-7530.0041847188095</v>
      </c>
      <c r="AI168" s="45">
        <f t="shared" si="179"/>
        <v>90968.405925228784</v>
      </c>
      <c r="AJ168" s="41">
        <f t="shared" si="179"/>
        <v>113</v>
      </c>
      <c r="AK168" s="41">
        <f>IFERROR(AQ168/AN168,0)</f>
        <v>868.05618789206449</v>
      </c>
      <c r="AL168" s="41">
        <f t="shared" ref="AL168:AQ168" si="180">SUM(AL148:AL167)</f>
        <v>0</v>
      </c>
      <c r="AM168" s="41">
        <f t="shared" si="180"/>
        <v>13</v>
      </c>
      <c r="AN168" s="41">
        <f t="shared" si="180"/>
        <v>100</v>
      </c>
      <c r="AO168" s="41">
        <f t="shared" si="180"/>
        <v>0</v>
      </c>
      <c r="AP168" s="41">
        <f t="shared" si="180"/>
        <v>-11251.302827192791</v>
      </c>
      <c r="AQ168" s="45">
        <f t="shared" si="180"/>
        <v>86805.618789206448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112191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110220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116613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125475.588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18264.286651240705</v>
      </c>
      <c r="T170" s="39"/>
      <c r="U170" s="39"/>
      <c r="V170" s="53"/>
      <c r="W170" s="53"/>
      <c r="X170" s="110"/>
      <c r="Y170" s="39"/>
      <c r="Z170" s="39"/>
      <c r="AA170" s="54">
        <f>AA169-AA168</f>
        <v>19023.40261222054</v>
      </c>
      <c r="AB170" s="39"/>
      <c r="AC170" s="53"/>
      <c r="AD170" s="53"/>
      <c r="AE170" s="110"/>
      <c r="AF170" s="39"/>
      <c r="AG170" s="39"/>
      <c r="AH170" s="39"/>
      <c r="AI170" s="54">
        <f>AI169-AI168</f>
        <v>25644.594074771216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38669.969210793555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Consumer and Corporate Regulation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1</v>
      </c>
      <c r="G176" s="35">
        <f>SUMIFS(WORKING!$AC$3:$AC$6802,WORKING!$A$3:$A$6802,Results!$D$3,WORKING!$B$3:$B$6802,Results!A176,WORKING!$C$3:$C$6802,Results!C176)/1000</f>
        <v>60</v>
      </c>
      <c r="H176" s="35">
        <f>IFERROR(G176/F176,0)</f>
        <v>60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65.528399999999991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71.167118819999985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77.218814768858664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83.628362488747769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5</v>
      </c>
      <c r="G177" s="35">
        <f>SUMIFS(WORKING!$AC$3:$AC$6802,WORKING!$A$3:$A$6802,Results!$D$3,WORKING!$B$3:$B$6802,Results!A177,WORKING!$C$3:$C$6802,Results!C177)/1000</f>
        <v>449.79997000000003</v>
      </c>
      <c r="H177" s="35">
        <f t="shared" ref="H177:H195" si="187">IFERROR(G177/F177,0)</f>
        <v>89.959994000000009</v>
      </c>
      <c r="I177" s="187">
        <v>0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98.248907847160012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106.70322636740813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115.77673522156067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125.38678312862629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1</v>
      </c>
      <c r="G178" s="35">
        <f>SUMIFS(WORKING!$AC$3:$AC$6802,WORKING!$A$3:$A$6802,Results!$D$3,WORKING!$B$3:$B$6802,Results!A178,WORKING!$C$3:$C$6802,Results!C178)/1000</f>
        <v>170.21466000000001</v>
      </c>
      <c r="H178" s="35">
        <f t="shared" si="187"/>
        <v>170.21466000000001</v>
      </c>
      <c r="I178" s="187">
        <v>7</v>
      </c>
      <c r="J178" s="212">
        <v>700</v>
      </c>
      <c r="K178" s="217">
        <f t="shared" si="188"/>
        <v>100</v>
      </c>
      <c r="L178" s="34">
        <f t="shared" si="181"/>
        <v>7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108.56370403676333</v>
      </c>
      <c r="N178" s="57">
        <v>0</v>
      </c>
      <c r="O178" s="57">
        <v>0</v>
      </c>
      <c r="P178" s="61">
        <f t="shared" si="182"/>
        <v>7</v>
      </c>
      <c r="Q178" s="40">
        <f t="shared" si="189"/>
        <v>0</v>
      </c>
      <c r="R178" s="40">
        <f t="shared" si="190"/>
        <v>0</v>
      </c>
      <c r="S178" s="44">
        <f t="shared" si="191"/>
        <v>759.94592825734333</v>
      </c>
      <c r="T178" s="35">
        <f t="shared" si="192"/>
        <v>7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117.70195102579267</v>
      </c>
      <c r="V178" s="57">
        <v>0</v>
      </c>
      <c r="W178" s="57">
        <v>0</v>
      </c>
      <c r="X178" s="61">
        <f t="shared" si="183"/>
        <v>7</v>
      </c>
      <c r="Y178" s="40">
        <f t="shared" si="193"/>
        <v>0</v>
      </c>
      <c r="Z178" s="40">
        <f t="shared" si="194"/>
        <v>0</v>
      </c>
      <c r="AA178" s="44">
        <f t="shared" si="195"/>
        <v>823.91365718054863</v>
      </c>
      <c r="AB178" s="35">
        <f t="shared" si="196"/>
        <v>7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127.49028942517708</v>
      </c>
      <c r="AD178" s="57">
        <v>0</v>
      </c>
      <c r="AE178" s="57">
        <v>0</v>
      </c>
      <c r="AF178" s="61">
        <f t="shared" si="184"/>
        <v>7</v>
      </c>
      <c r="AG178" s="40">
        <f t="shared" si="197"/>
        <v>0</v>
      </c>
      <c r="AH178" s="40">
        <f t="shared" si="198"/>
        <v>0</v>
      </c>
      <c r="AI178" s="44">
        <f t="shared" si="199"/>
        <v>892.43202597623963</v>
      </c>
      <c r="AJ178" s="35">
        <f t="shared" si="185"/>
        <v>7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137.83461141451195</v>
      </c>
      <c r="AL178" s="57">
        <v>0</v>
      </c>
      <c r="AM178" s="57">
        <v>0</v>
      </c>
      <c r="AN178" s="61">
        <f t="shared" si="186"/>
        <v>7</v>
      </c>
      <c r="AO178" s="40">
        <f t="shared" si="200"/>
        <v>0</v>
      </c>
      <c r="AP178" s="40">
        <f t="shared" si="201"/>
        <v>0</v>
      </c>
      <c r="AQ178" s="44">
        <f t="shared" si="202"/>
        <v>964.84227990158365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0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>
        <v>0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>
        <v>0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8</v>
      </c>
      <c r="G182" s="35">
        <f>SUMIFS(WORKING!$AC$3:$AC$6802,WORKING!$A$3:$A$6802,Results!$D$3,WORKING!$B$3:$B$6802,Results!A182,WORKING!$C$3:$C$6802,Results!C182)/1000</f>
        <v>1849.7183399999999</v>
      </c>
      <c r="H182" s="35">
        <f t="shared" si="187"/>
        <v>231.21479249999999</v>
      </c>
      <c r="I182" s="187">
        <v>8</v>
      </c>
      <c r="J182" s="212">
        <v>2364</v>
      </c>
      <c r="K182" s="217">
        <f t="shared" si="188"/>
        <v>295.5</v>
      </c>
      <c r="L182" s="34">
        <f t="shared" si="181"/>
        <v>8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322.02216738587748</v>
      </c>
      <c r="N182" s="57">
        <v>0</v>
      </c>
      <c r="O182" s="57">
        <v>0</v>
      </c>
      <c r="P182" s="61">
        <f t="shared" si="182"/>
        <v>8</v>
      </c>
      <c r="Q182" s="40">
        <f t="shared" si="189"/>
        <v>0</v>
      </c>
      <c r="R182" s="40">
        <f t="shared" si="190"/>
        <v>0</v>
      </c>
      <c r="S182" s="44">
        <f t="shared" si="191"/>
        <v>2576.1773390870198</v>
      </c>
      <c r="T182" s="35">
        <f t="shared" si="192"/>
        <v>8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349.50644931621042</v>
      </c>
      <c r="V182" s="57">
        <v>0</v>
      </c>
      <c r="W182" s="57">
        <v>1</v>
      </c>
      <c r="X182" s="61">
        <f t="shared" si="183"/>
        <v>7</v>
      </c>
      <c r="Y182" s="40">
        <f t="shared" si="193"/>
        <v>0</v>
      </c>
      <c r="Z182" s="40">
        <f t="shared" si="194"/>
        <v>-349.50644931621042</v>
      </c>
      <c r="AA182" s="44">
        <f t="shared" si="195"/>
        <v>2446.545145213473</v>
      </c>
      <c r="AB182" s="35">
        <f t="shared" si="196"/>
        <v>7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378.98233871060148</v>
      </c>
      <c r="AD182" s="57">
        <v>0</v>
      </c>
      <c r="AE182" s="57">
        <v>1</v>
      </c>
      <c r="AF182" s="61">
        <f t="shared" si="184"/>
        <v>6</v>
      </c>
      <c r="AG182" s="40">
        <f t="shared" si="197"/>
        <v>0</v>
      </c>
      <c r="AH182" s="40">
        <f t="shared" si="198"/>
        <v>-378.98233871060148</v>
      </c>
      <c r="AI182" s="44">
        <f t="shared" si="199"/>
        <v>2273.894032263609</v>
      </c>
      <c r="AJ182" s="35">
        <f t="shared" si="185"/>
        <v>6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410.17606541005961</v>
      </c>
      <c r="AL182" s="57">
        <v>0</v>
      </c>
      <c r="AM182" s="57">
        <v>0</v>
      </c>
      <c r="AN182" s="61">
        <f t="shared" si="186"/>
        <v>6</v>
      </c>
      <c r="AO182" s="40">
        <f t="shared" si="200"/>
        <v>0</v>
      </c>
      <c r="AP182" s="40">
        <f t="shared" si="201"/>
        <v>0</v>
      </c>
      <c r="AQ182" s="44">
        <f t="shared" si="202"/>
        <v>2461.0563924603575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10</v>
      </c>
      <c r="G183" s="35">
        <f>SUMIFS(WORKING!$AC$3:$AC$6802,WORKING!$A$3:$A$6802,Results!$D$3,WORKING!$B$3:$B$6802,Results!A183,WORKING!$C$3:$C$6802,Results!C183)/1000</f>
        <v>3423.1493700000001</v>
      </c>
      <c r="H183" s="35">
        <f t="shared" si="187"/>
        <v>342.31493699999999</v>
      </c>
      <c r="I183" s="187">
        <v>11</v>
      </c>
      <c r="J183" s="212">
        <v>3765</v>
      </c>
      <c r="K183" s="217">
        <f t="shared" si="188"/>
        <v>342.27272727272725</v>
      </c>
      <c r="L183" s="34">
        <f t="shared" si="181"/>
        <v>11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372.94632593693592</v>
      </c>
      <c r="N183" s="57">
        <v>0</v>
      </c>
      <c r="O183" s="57">
        <v>1</v>
      </c>
      <c r="P183" s="61">
        <f t="shared" si="182"/>
        <v>10</v>
      </c>
      <c r="Q183" s="40">
        <f t="shared" si="189"/>
        <v>0</v>
      </c>
      <c r="R183" s="40">
        <f t="shared" si="190"/>
        <v>-372.94632593693592</v>
      </c>
      <c r="S183" s="44">
        <f t="shared" si="191"/>
        <v>3729.4632593693591</v>
      </c>
      <c r="T183" s="35">
        <f t="shared" si="192"/>
        <v>10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404.7692465562335</v>
      </c>
      <c r="V183" s="57">
        <v>0</v>
      </c>
      <c r="W183" s="57">
        <v>3</v>
      </c>
      <c r="X183" s="61">
        <f t="shared" si="183"/>
        <v>7</v>
      </c>
      <c r="Y183" s="40">
        <f t="shared" si="193"/>
        <v>0</v>
      </c>
      <c r="Z183" s="40">
        <f t="shared" si="194"/>
        <v>-1214.3077396687004</v>
      </c>
      <c r="AA183" s="44">
        <f t="shared" si="195"/>
        <v>2833.3847258936344</v>
      </c>
      <c r="AB183" s="35">
        <f t="shared" si="196"/>
        <v>7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438.89710102322181</v>
      </c>
      <c r="AD183" s="57">
        <v>0</v>
      </c>
      <c r="AE183" s="57">
        <v>0</v>
      </c>
      <c r="AF183" s="61">
        <f t="shared" si="184"/>
        <v>7</v>
      </c>
      <c r="AG183" s="40">
        <f t="shared" si="197"/>
        <v>0</v>
      </c>
      <c r="AH183" s="40">
        <f t="shared" si="198"/>
        <v>0</v>
      </c>
      <c r="AI183" s="44">
        <f t="shared" si="199"/>
        <v>3072.2797071625528</v>
      </c>
      <c r="AJ183" s="35">
        <f t="shared" si="185"/>
        <v>7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475.01227558589727</v>
      </c>
      <c r="AL183" s="57">
        <v>0</v>
      </c>
      <c r="AM183" s="57">
        <v>2</v>
      </c>
      <c r="AN183" s="61">
        <f t="shared" si="186"/>
        <v>5</v>
      </c>
      <c r="AO183" s="40">
        <f t="shared" si="200"/>
        <v>0</v>
      </c>
      <c r="AP183" s="40">
        <f t="shared" si="201"/>
        <v>-950.02455117179454</v>
      </c>
      <c r="AQ183" s="44">
        <f t="shared" si="202"/>
        <v>2375.0613779294863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2</v>
      </c>
      <c r="G184" s="35">
        <f>SUMIFS(WORKING!$AC$3:$AC$6802,WORKING!$A$3:$A$6802,Results!$D$3,WORKING!$B$3:$B$6802,Results!A184,WORKING!$C$3:$C$6802,Results!C184)/1000</f>
        <v>1667.6627700000004</v>
      </c>
      <c r="H184" s="35">
        <f t="shared" si="187"/>
        <v>833.83138500000018</v>
      </c>
      <c r="I184" s="187">
        <v>1</v>
      </c>
      <c r="J184" s="212">
        <v>834</v>
      </c>
      <c r="K184" s="217">
        <f t="shared" si="188"/>
        <v>834</v>
      </c>
      <c r="L184" s="34">
        <f t="shared" si="181"/>
        <v>1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909.20023298212834</v>
      </c>
      <c r="N184" s="57">
        <v>0</v>
      </c>
      <c r="O184" s="57">
        <v>0</v>
      </c>
      <c r="P184" s="61">
        <f t="shared" si="182"/>
        <v>1</v>
      </c>
      <c r="Q184" s="40">
        <f t="shared" si="189"/>
        <v>0</v>
      </c>
      <c r="R184" s="40">
        <f t="shared" si="190"/>
        <v>0</v>
      </c>
      <c r="S184" s="44">
        <f t="shared" si="191"/>
        <v>909.20023298212834</v>
      </c>
      <c r="T184" s="35">
        <f t="shared" si="192"/>
        <v>1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986.92344214020795</v>
      </c>
      <c r="V184" s="57">
        <v>0</v>
      </c>
      <c r="W184" s="57">
        <v>0</v>
      </c>
      <c r="X184" s="61">
        <f t="shared" si="183"/>
        <v>1</v>
      </c>
      <c r="Y184" s="40">
        <f t="shared" si="193"/>
        <v>0</v>
      </c>
      <c r="Z184" s="40">
        <f t="shared" si="194"/>
        <v>0</v>
      </c>
      <c r="AA184" s="44">
        <f t="shared" si="195"/>
        <v>986.92344214020795</v>
      </c>
      <c r="AB184" s="35">
        <f t="shared" si="196"/>
        <v>1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1070.2898533222792</v>
      </c>
      <c r="AD184" s="57">
        <v>0</v>
      </c>
      <c r="AE184" s="57">
        <v>0</v>
      </c>
      <c r="AF184" s="61">
        <f t="shared" si="184"/>
        <v>1</v>
      </c>
      <c r="AG184" s="40">
        <f t="shared" si="197"/>
        <v>0</v>
      </c>
      <c r="AH184" s="40">
        <f t="shared" si="198"/>
        <v>0</v>
      </c>
      <c r="AI184" s="44">
        <f t="shared" si="199"/>
        <v>1070.2898533222792</v>
      </c>
      <c r="AJ184" s="35">
        <f t="shared" si="185"/>
        <v>1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1158.5272282745841</v>
      </c>
      <c r="AL184" s="57">
        <v>0</v>
      </c>
      <c r="AM184" s="57">
        <v>0</v>
      </c>
      <c r="AN184" s="61">
        <f t="shared" si="186"/>
        <v>1</v>
      </c>
      <c r="AO184" s="40">
        <f t="shared" si="200"/>
        <v>0</v>
      </c>
      <c r="AP184" s="40">
        <f t="shared" si="201"/>
        <v>0</v>
      </c>
      <c r="AQ184" s="44">
        <f t="shared" si="202"/>
        <v>1158.5272282745841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21</v>
      </c>
      <c r="G185" s="35">
        <f>SUMIFS(WORKING!$AC$3:$AC$6802,WORKING!$A$3:$A$6802,Results!$D$3,WORKING!$B$3:$B$6802,Results!A185,WORKING!$C$3:$C$6802,Results!C185)/1000</f>
        <v>9934.9490699999988</v>
      </c>
      <c r="H185" s="35">
        <f t="shared" si="187"/>
        <v>473.0928128571428</v>
      </c>
      <c r="I185" s="187">
        <v>21</v>
      </c>
      <c r="J185" s="212">
        <v>9918</v>
      </c>
      <c r="K185" s="217">
        <f t="shared" si="188"/>
        <v>472.28571428571428</v>
      </c>
      <c r="L185" s="34">
        <f t="shared" si="181"/>
        <v>21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514.84786811068534</v>
      </c>
      <c r="N185" s="57">
        <v>0</v>
      </c>
      <c r="O185" s="57">
        <v>6</v>
      </c>
      <c r="P185" s="61">
        <f t="shared" si="182"/>
        <v>15</v>
      </c>
      <c r="Q185" s="40">
        <f t="shared" si="189"/>
        <v>0</v>
      </c>
      <c r="R185" s="40">
        <f t="shared" si="190"/>
        <v>-3089.087208664112</v>
      </c>
      <c r="S185" s="44">
        <f t="shared" si="191"/>
        <v>7722.7180216602801</v>
      </c>
      <c r="T185" s="35">
        <f t="shared" si="192"/>
        <v>15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558.8531533174372</v>
      </c>
      <c r="V185" s="57">
        <v>0</v>
      </c>
      <c r="W185" s="57">
        <v>2</v>
      </c>
      <c r="X185" s="61">
        <f t="shared" si="183"/>
        <v>13</v>
      </c>
      <c r="Y185" s="40">
        <f t="shared" si="193"/>
        <v>0</v>
      </c>
      <c r="Z185" s="40">
        <f t="shared" si="194"/>
        <v>-1117.7063066348744</v>
      </c>
      <c r="AA185" s="44">
        <f t="shared" si="195"/>
        <v>7265.0909931266833</v>
      </c>
      <c r="AB185" s="35">
        <f t="shared" si="196"/>
        <v>13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606.05286135158781</v>
      </c>
      <c r="AD185" s="57">
        <v>0</v>
      </c>
      <c r="AE185" s="57">
        <v>2</v>
      </c>
      <c r="AF185" s="61">
        <f t="shared" si="184"/>
        <v>11</v>
      </c>
      <c r="AG185" s="40">
        <f t="shared" si="197"/>
        <v>0</v>
      </c>
      <c r="AH185" s="40">
        <f t="shared" si="198"/>
        <v>-1212.1057227031756</v>
      </c>
      <c r="AI185" s="44">
        <f t="shared" si="199"/>
        <v>6666.5814748674657</v>
      </c>
      <c r="AJ185" s="35">
        <f t="shared" si="185"/>
        <v>11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656.00959612719373</v>
      </c>
      <c r="AL185" s="57">
        <v>0</v>
      </c>
      <c r="AM185" s="57">
        <v>2</v>
      </c>
      <c r="AN185" s="61">
        <f t="shared" si="186"/>
        <v>9</v>
      </c>
      <c r="AO185" s="40">
        <f t="shared" si="200"/>
        <v>0</v>
      </c>
      <c r="AP185" s="40">
        <f t="shared" si="201"/>
        <v>-1312.0191922543875</v>
      </c>
      <c r="AQ185" s="44">
        <f t="shared" si="202"/>
        <v>5904.0863651447435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6</v>
      </c>
      <c r="G186" s="35">
        <f>SUMIFS(WORKING!$AC$3:$AC$6802,WORKING!$A$3:$A$6802,Results!$D$3,WORKING!$B$3:$B$6802,Results!A186,WORKING!$C$3:$C$6802,Results!C186)/1000</f>
        <v>3584.7087499999993</v>
      </c>
      <c r="H186" s="35">
        <f t="shared" si="187"/>
        <v>597.45145833333322</v>
      </c>
      <c r="I186" s="187">
        <v>7</v>
      </c>
      <c r="J186" s="212">
        <v>3790</v>
      </c>
      <c r="K186" s="217">
        <f t="shared" si="188"/>
        <v>541.42857142857144</v>
      </c>
      <c r="L186" s="34">
        <f t="shared" si="181"/>
        <v>7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591.07494508933235</v>
      </c>
      <c r="N186" s="57">
        <v>0</v>
      </c>
      <c r="O186" s="57">
        <v>0</v>
      </c>
      <c r="P186" s="61">
        <f t="shared" si="182"/>
        <v>7</v>
      </c>
      <c r="Q186" s="40">
        <f t="shared" si="189"/>
        <v>0</v>
      </c>
      <c r="R186" s="40">
        <f t="shared" si="190"/>
        <v>0</v>
      </c>
      <c r="S186" s="44">
        <f t="shared" si="191"/>
        <v>4137.5246156253261</v>
      </c>
      <c r="T186" s="35">
        <f t="shared" si="192"/>
        <v>7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641.67547018556843</v>
      </c>
      <c r="V186" s="57">
        <v>0</v>
      </c>
      <c r="W186" s="57">
        <v>0</v>
      </c>
      <c r="X186" s="61">
        <f t="shared" si="183"/>
        <v>7</v>
      </c>
      <c r="Y186" s="40">
        <f t="shared" si="193"/>
        <v>0</v>
      </c>
      <c r="Z186" s="40">
        <f t="shared" si="194"/>
        <v>0</v>
      </c>
      <c r="AA186" s="44">
        <f t="shared" si="195"/>
        <v>4491.7282912989795</v>
      </c>
      <c r="AB186" s="35">
        <f t="shared" si="196"/>
        <v>7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695.95675098873744</v>
      </c>
      <c r="AD186" s="57">
        <v>0</v>
      </c>
      <c r="AE186" s="57">
        <v>0</v>
      </c>
      <c r="AF186" s="61">
        <f t="shared" si="184"/>
        <v>7</v>
      </c>
      <c r="AG186" s="40">
        <f t="shared" si="197"/>
        <v>0</v>
      </c>
      <c r="AH186" s="40">
        <f t="shared" si="198"/>
        <v>0</v>
      </c>
      <c r="AI186" s="44">
        <f t="shared" si="199"/>
        <v>4871.6972569211621</v>
      </c>
      <c r="AJ186" s="35">
        <f t="shared" si="185"/>
        <v>7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753.41763378105748</v>
      </c>
      <c r="AL186" s="57">
        <v>0</v>
      </c>
      <c r="AM186" s="57">
        <v>0</v>
      </c>
      <c r="AN186" s="61">
        <f t="shared" si="186"/>
        <v>7</v>
      </c>
      <c r="AO186" s="40">
        <f t="shared" si="200"/>
        <v>0</v>
      </c>
      <c r="AP186" s="40">
        <f t="shared" si="201"/>
        <v>0</v>
      </c>
      <c r="AQ186" s="44">
        <f t="shared" si="202"/>
        <v>5273.9234364674021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8</v>
      </c>
      <c r="G187" s="35">
        <f>SUMIFS(WORKING!$AC$3:$AC$6802,WORKING!$A$3:$A$6802,Results!$D$3,WORKING!$B$3:$B$6802,Results!A187,WORKING!$C$3:$C$6802,Results!C187)/1000</f>
        <v>5927.6253600000009</v>
      </c>
      <c r="H187" s="35">
        <f t="shared" si="187"/>
        <v>740.95317000000011</v>
      </c>
      <c r="I187" s="187">
        <v>7</v>
      </c>
      <c r="J187" s="212">
        <v>6635</v>
      </c>
      <c r="K187" s="217">
        <f t="shared" si="188"/>
        <v>947.85714285714289</v>
      </c>
      <c r="L187" s="34">
        <f t="shared" si="181"/>
        <v>7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1034.9289060978804</v>
      </c>
      <c r="N187" s="57">
        <v>0</v>
      </c>
      <c r="O187" s="57">
        <v>1</v>
      </c>
      <c r="P187" s="61">
        <f t="shared" si="182"/>
        <v>6</v>
      </c>
      <c r="Q187" s="40">
        <f t="shared" si="189"/>
        <v>0</v>
      </c>
      <c r="R187" s="40">
        <f t="shared" si="190"/>
        <v>-1034.9289060978804</v>
      </c>
      <c r="S187" s="44">
        <f t="shared" si="191"/>
        <v>6209.5734365872822</v>
      </c>
      <c r="T187" s="35">
        <f t="shared" si="192"/>
        <v>6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1123.6981181061335</v>
      </c>
      <c r="V187" s="57">
        <v>0</v>
      </c>
      <c r="W187" s="57">
        <v>2</v>
      </c>
      <c r="X187" s="61">
        <f t="shared" si="183"/>
        <v>4</v>
      </c>
      <c r="Y187" s="40">
        <f t="shared" si="193"/>
        <v>0</v>
      </c>
      <c r="Z187" s="40">
        <f t="shared" si="194"/>
        <v>-2247.396236212267</v>
      </c>
      <c r="AA187" s="44">
        <f t="shared" si="195"/>
        <v>4494.792472424534</v>
      </c>
      <c r="AB187" s="35">
        <f t="shared" si="196"/>
        <v>4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1218.9410906561823</v>
      </c>
      <c r="AD187" s="57">
        <v>0</v>
      </c>
      <c r="AE187" s="57">
        <v>0</v>
      </c>
      <c r="AF187" s="61">
        <f t="shared" si="184"/>
        <v>4</v>
      </c>
      <c r="AG187" s="40">
        <f t="shared" si="197"/>
        <v>0</v>
      </c>
      <c r="AH187" s="40">
        <f t="shared" si="198"/>
        <v>0</v>
      </c>
      <c r="AI187" s="44">
        <f t="shared" si="199"/>
        <v>4875.7643626247291</v>
      </c>
      <c r="AJ187" s="35">
        <f t="shared" si="185"/>
        <v>4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1319.7828953103165</v>
      </c>
      <c r="AL187" s="57">
        <v>0</v>
      </c>
      <c r="AM187" s="57">
        <v>0</v>
      </c>
      <c r="AN187" s="61">
        <f t="shared" si="186"/>
        <v>4</v>
      </c>
      <c r="AO187" s="40">
        <f t="shared" si="200"/>
        <v>0</v>
      </c>
      <c r="AP187" s="40">
        <f t="shared" si="201"/>
        <v>0</v>
      </c>
      <c r="AQ187" s="44">
        <f t="shared" si="202"/>
        <v>5279.1315812412658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22</v>
      </c>
      <c r="G188" s="35">
        <f>SUMIFS(WORKING!$AC$3:$AC$6802,WORKING!$A$3:$A$6802,Results!$D$3,WORKING!$B$3:$B$6802,Results!A188,WORKING!$C$3:$C$6802,Results!C188)/1000</f>
        <v>20197.60829</v>
      </c>
      <c r="H188" s="35">
        <f t="shared" si="187"/>
        <v>918.07310409090906</v>
      </c>
      <c r="I188" s="187">
        <v>22</v>
      </c>
      <c r="J188" s="212">
        <v>17979</v>
      </c>
      <c r="K188" s="217">
        <f t="shared" si="188"/>
        <v>817.22727272727275</v>
      </c>
      <c r="L188" s="34">
        <f t="shared" si="181"/>
        <v>22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856.69027956590014</v>
      </c>
      <c r="N188" s="57">
        <v>0</v>
      </c>
      <c r="O188" s="57">
        <v>3</v>
      </c>
      <c r="P188" s="61">
        <f t="shared" si="182"/>
        <v>19</v>
      </c>
      <c r="Q188" s="40">
        <f t="shared" si="189"/>
        <v>0</v>
      </c>
      <c r="R188" s="40">
        <f t="shared" si="190"/>
        <v>-2570.0708386977003</v>
      </c>
      <c r="S188" s="44">
        <f t="shared" si="191"/>
        <v>16277.115311752103</v>
      </c>
      <c r="T188" s="35">
        <f t="shared" si="192"/>
        <v>19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921.53189383499682</v>
      </c>
      <c r="V188" s="57">
        <v>0</v>
      </c>
      <c r="W188" s="57">
        <v>2</v>
      </c>
      <c r="X188" s="61">
        <f t="shared" si="183"/>
        <v>17</v>
      </c>
      <c r="Y188" s="40">
        <f t="shared" si="193"/>
        <v>0</v>
      </c>
      <c r="Z188" s="40">
        <f t="shared" si="194"/>
        <v>-1843.0637876699936</v>
      </c>
      <c r="AA188" s="44">
        <f t="shared" si="195"/>
        <v>15666.042195194947</v>
      </c>
      <c r="AB188" s="35">
        <f t="shared" si="196"/>
        <v>17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990.34610252453444</v>
      </c>
      <c r="AD188" s="57">
        <v>0</v>
      </c>
      <c r="AE188" s="57">
        <v>2</v>
      </c>
      <c r="AF188" s="61">
        <f t="shared" si="184"/>
        <v>15</v>
      </c>
      <c r="AG188" s="40">
        <f t="shared" si="197"/>
        <v>0</v>
      </c>
      <c r="AH188" s="40">
        <f t="shared" si="198"/>
        <v>-1980.6922050490689</v>
      </c>
      <c r="AI188" s="44">
        <f t="shared" si="199"/>
        <v>14855.191537868017</v>
      </c>
      <c r="AJ188" s="35">
        <f t="shared" si="185"/>
        <v>15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1062.2889163133332</v>
      </c>
      <c r="AL188" s="57">
        <v>0</v>
      </c>
      <c r="AM188" s="57">
        <v>3</v>
      </c>
      <c r="AN188" s="61">
        <f t="shared" si="186"/>
        <v>12</v>
      </c>
      <c r="AO188" s="40">
        <f t="shared" si="200"/>
        <v>0</v>
      </c>
      <c r="AP188" s="40">
        <f t="shared" si="201"/>
        <v>-3186.8667489399995</v>
      </c>
      <c r="AQ188" s="44">
        <f t="shared" si="202"/>
        <v>12747.466995759998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5</v>
      </c>
      <c r="G189" s="35">
        <f>SUMIFS(WORKING!$AC$3:$AC$6802,WORKING!$A$3:$A$6802,Results!$D$3,WORKING!$B$3:$B$6802,Results!A189,WORKING!$C$3:$C$6802,Results!C189)/1000</f>
        <v>4488.2245000000003</v>
      </c>
      <c r="H189" s="35">
        <f t="shared" si="187"/>
        <v>897.64490000000001</v>
      </c>
      <c r="I189" s="187">
        <v>6</v>
      </c>
      <c r="J189" s="212">
        <v>5360</v>
      </c>
      <c r="K189" s="217">
        <f t="shared" si="188"/>
        <v>893.33333333333337</v>
      </c>
      <c r="L189" s="34">
        <f t="shared" si="181"/>
        <v>6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936.39510860585506</v>
      </c>
      <c r="N189" s="57">
        <v>0</v>
      </c>
      <c r="O189" s="57">
        <v>0</v>
      </c>
      <c r="P189" s="61">
        <f t="shared" si="182"/>
        <v>6</v>
      </c>
      <c r="Q189" s="40">
        <f t="shared" si="189"/>
        <v>0</v>
      </c>
      <c r="R189" s="40">
        <f t="shared" si="190"/>
        <v>0</v>
      </c>
      <c r="S189" s="44">
        <f t="shared" si="191"/>
        <v>5618.3706516351303</v>
      </c>
      <c r="T189" s="35">
        <f t="shared" si="192"/>
        <v>6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1007.1873842881508</v>
      </c>
      <c r="V189" s="57">
        <v>0</v>
      </c>
      <c r="W189" s="57">
        <v>0</v>
      </c>
      <c r="X189" s="61">
        <f t="shared" si="183"/>
        <v>6</v>
      </c>
      <c r="Y189" s="40">
        <f t="shared" si="193"/>
        <v>0</v>
      </c>
      <c r="Z189" s="40">
        <f t="shared" si="194"/>
        <v>0</v>
      </c>
      <c r="AA189" s="44">
        <f t="shared" si="195"/>
        <v>6043.1243057289048</v>
      </c>
      <c r="AB189" s="35">
        <f t="shared" si="196"/>
        <v>6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1082.3096059470354</v>
      </c>
      <c r="AD189" s="57">
        <v>0</v>
      </c>
      <c r="AE189" s="57">
        <v>1</v>
      </c>
      <c r="AF189" s="61">
        <f t="shared" si="184"/>
        <v>5</v>
      </c>
      <c r="AG189" s="40">
        <f t="shared" si="197"/>
        <v>0</v>
      </c>
      <c r="AH189" s="40">
        <f t="shared" si="198"/>
        <v>-1082.3096059470354</v>
      </c>
      <c r="AI189" s="44">
        <f t="shared" si="199"/>
        <v>5411.5480297351769</v>
      </c>
      <c r="AJ189" s="35">
        <f t="shared" si="185"/>
        <v>5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1160.838426698725</v>
      </c>
      <c r="AL189" s="57">
        <v>0</v>
      </c>
      <c r="AM189" s="57">
        <v>0</v>
      </c>
      <c r="AN189" s="61">
        <f t="shared" si="186"/>
        <v>5</v>
      </c>
      <c r="AO189" s="40">
        <f t="shared" si="200"/>
        <v>0</v>
      </c>
      <c r="AP189" s="40">
        <f t="shared" si="201"/>
        <v>0</v>
      </c>
      <c r="AQ189" s="44">
        <f t="shared" si="202"/>
        <v>5804.1921334936251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2122.4553499999997</v>
      </c>
      <c r="H190" s="35">
        <f t="shared" si="187"/>
        <v>2122.4553499999997</v>
      </c>
      <c r="I190" s="187">
        <v>1</v>
      </c>
      <c r="J190" s="212">
        <v>1268</v>
      </c>
      <c r="K190" s="217">
        <f t="shared" si="188"/>
        <v>1268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1329.1895384498055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1329.1895384498055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1429.7500457091619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1429.7500457091619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1536.4676425228345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1536.4676425228345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1648.032398861729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1648.032398861729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1</v>
      </c>
      <c r="G191" s="35">
        <f>SUMIFS(WORKING!$AC$3:$AC$6802,WORKING!$A$3:$A$6802,Results!$D$3,WORKING!$B$3:$B$6802,Results!A191,WORKING!$C$3:$C$6802,Results!C191)/1000</f>
        <v>224.26080000000002</v>
      </c>
      <c r="H191" s="35">
        <f t="shared" si="187"/>
        <v>224.26080000000002</v>
      </c>
      <c r="I191" s="187">
        <v>0</v>
      </c>
      <c r="J191" s="212">
        <v>1866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235.11098031015001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252.92863561819306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271.83988958704481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291.61334606799306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>
        <v>0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91</v>
      </c>
      <c r="G196" s="41">
        <f>SUM(G176:G195)</f>
        <v>54100.377229999998</v>
      </c>
      <c r="H196" s="41">
        <f>IFERROR(G196/F196,0)</f>
        <v>594.50963989010984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91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54479</v>
      </c>
      <c r="K196" s="41">
        <f>IFERROR(J196/I196,"")</f>
        <v>598.67032967032969</v>
      </c>
      <c r="L196" s="41">
        <f>SUM(L176:L195)</f>
        <v>91</v>
      </c>
      <c r="M196" s="41">
        <f>IFERROR(S196/P196,0)</f>
        <v>615.86597919257224</v>
      </c>
      <c r="N196" s="41">
        <f t="shared" ref="N196:T196" si="203">SUM(N176:N195)</f>
        <v>0</v>
      </c>
      <c r="O196" s="41">
        <f t="shared" si="203"/>
        <v>11</v>
      </c>
      <c r="P196" s="41">
        <f t="shared" si="203"/>
        <v>80</v>
      </c>
      <c r="Q196" s="41">
        <f t="shared" si="203"/>
        <v>0</v>
      </c>
      <c r="R196" s="41">
        <f t="shared" si="203"/>
        <v>-7067.0332793966281</v>
      </c>
      <c r="S196" s="45">
        <f t="shared" si="203"/>
        <v>49269.278335405776</v>
      </c>
      <c r="T196" s="41">
        <f t="shared" si="203"/>
        <v>80</v>
      </c>
      <c r="U196" s="41">
        <f>IFERROR(AA196/X196,0)</f>
        <v>664.01850391301525</v>
      </c>
      <c r="V196" s="41">
        <f t="shared" ref="V196:AB196" si="204">SUM(V176:V195)</f>
        <v>0</v>
      </c>
      <c r="W196" s="41">
        <f t="shared" si="204"/>
        <v>10</v>
      </c>
      <c r="X196" s="41">
        <f t="shared" si="204"/>
        <v>70</v>
      </c>
      <c r="Y196" s="41">
        <f t="shared" si="204"/>
        <v>0</v>
      </c>
      <c r="Z196" s="41">
        <f t="shared" si="204"/>
        <v>-6771.9805195020463</v>
      </c>
      <c r="AA196" s="45">
        <f t="shared" si="204"/>
        <v>46481.29527391107</v>
      </c>
      <c r="AB196" s="41">
        <f t="shared" si="204"/>
        <v>70</v>
      </c>
      <c r="AC196" s="41">
        <f>IFERROR(AI196/AF196,0)</f>
        <v>711.34603005100098</v>
      </c>
      <c r="AD196" s="41">
        <f t="shared" ref="AD196:AJ196" si="205">SUM(AD176:AD195)</f>
        <v>0</v>
      </c>
      <c r="AE196" s="41">
        <f t="shared" si="205"/>
        <v>6</v>
      </c>
      <c r="AF196" s="41">
        <f t="shared" si="205"/>
        <v>64</v>
      </c>
      <c r="AG196" s="41">
        <f t="shared" si="205"/>
        <v>0</v>
      </c>
      <c r="AH196" s="41">
        <f t="shared" si="205"/>
        <v>-4654.0898724098815</v>
      </c>
      <c r="AI196" s="45">
        <f t="shared" si="205"/>
        <v>45526.145923264063</v>
      </c>
      <c r="AJ196" s="41">
        <f t="shared" si="205"/>
        <v>64</v>
      </c>
      <c r="AK196" s="41">
        <f>IFERROR(AQ196/AN196,0)</f>
        <v>765.19859981639968</v>
      </c>
      <c r="AL196" s="41">
        <f t="shared" ref="AL196:AQ196" si="206">SUM(AL176:AL195)</f>
        <v>0</v>
      </c>
      <c r="AM196" s="41">
        <f t="shared" si="206"/>
        <v>7</v>
      </c>
      <c r="AN196" s="41">
        <f t="shared" si="206"/>
        <v>57</v>
      </c>
      <c r="AO196" s="41">
        <f t="shared" si="206"/>
        <v>0</v>
      </c>
      <c r="AP196" s="41">
        <f t="shared" si="206"/>
        <v>-5448.9104923661816</v>
      </c>
      <c r="AQ196" s="45">
        <f t="shared" si="206"/>
        <v>43616.320189534781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71139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72356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76564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82382.864000000001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21869.721664594224</v>
      </c>
      <c r="T198" s="39"/>
      <c r="U198" s="39"/>
      <c r="V198" s="53"/>
      <c r="W198" s="53"/>
      <c r="X198" s="110"/>
      <c r="Y198" s="39"/>
      <c r="Z198" s="39"/>
      <c r="AA198" s="54">
        <f>AA197-AA196</f>
        <v>25874.70472608893</v>
      </c>
      <c r="AB198" s="39"/>
      <c r="AC198" s="53"/>
      <c r="AD198" s="53"/>
      <c r="AE198" s="110"/>
      <c r="AF198" s="39"/>
      <c r="AG198" s="39"/>
      <c r="AH198" s="39"/>
      <c r="AI198" s="54">
        <f>AI197-AI196</f>
        <v>31037.854076735937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38766.54381046522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Incentive Development and Administration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6</v>
      </c>
      <c r="G204" s="35">
        <f>SUMIFS(WORKING!$AC$3:$AC$6802,WORKING!$A$3:$A$6802,Results!$D$3,WORKING!$B$3:$B$6802,Results!A204,WORKING!$C$3:$C$6802,Results!C204)/1000</f>
        <v>433.18356</v>
      </c>
      <c r="H204" s="35">
        <f>IFERROR(G204/F204,0)</f>
        <v>72.19726</v>
      </c>
      <c r="I204" s="156">
        <v>0</v>
      </c>
      <c r="J204" s="211">
        <v>0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78.849515536400006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85.63451634830723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92.916447445985526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100.62897716623954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117.277</v>
      </c>
      <c r="H205" s="35">
        <f t="shared" ref="H205:H223" si="213">IFERROR(G205/F205,0)</f>
        <v>0</v>
      </c>
      <c r="I205" s="187">
        <v>0</v>
      </c>
      <c r="J205" s="212">
        <v>0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1</v>
      </c>
      <c r="G206" s="35">
        <f>SUMIFS(WORKING!$AC$3:$AC$6802,WORKING!$A$3:$A$6802,Results!$D$3,WORKING!$B$3:$B$6802,Results!A206,WORKING!$C$3:$C$6802,Results!C206)/1000</f>
        <v>153.45780999999997</v>
      </c>
      <c r="H206" s="35">
        <f t="shared" si="213"/>
        <v>153.45780999999997</v>
      </c>
      <c r="I206" s="187">
        <v>7</v>
      </c>
      <c r="J206" s="212">
        <v>704</v>
      </c>
      <c r="K206" s="217">
        <f t="shared" si="214"/>
        <v>100.57142857142857</v>
      </c>
      <c r="L206" s="34">
        <f t="shared" si="207"/>
        <v>7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108.990890944656</v>
      </c>
      <c r="N206" s="57">
        <v>0</v>
      </c>
      <c r="O206" s="57">
        <v>0</v>
      </c>
      <c r="P206" s="61">
        <f t="shared" si="208"/>
        <v>7</v>
      </c>
      <c r="Q206" s="40">
        <f t="shared" si="215"/>
        <v>0</v>
      </c>
      <c r="R206" s="40">
        <f t="shared" si="216"/>
        <v>0</v>
      </c>
      <c r="S206" s="44">
        <f t="shared" si="217"/>
        <v>762.93623661259198</v>
      </c>
      <c r="T206" s="35">
        <f t="shared" si="218"/>
        <v>7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118.10673023779515</v>
      </c>
      <c r="V206" s="57">
        <v>0</v>
      </c>
      <c r="W206" s="57">
        <v>0</v>
      </c>
      <c r="X206" s="61">
        <f t="shared" si="209"/>
        <v>7</v>
      </c>
      <c r="Y206" s="40">
        <f t="shared" si="219"/>
        <v>0</v>
      </c>
      <c r="Z206" s="40">
        <f t="shared" si="220"/>
        <v>0</v>
      </c>
      <c r="AA206" s="44">
        <f t="shared" si="221"/>
        <v>826.74711166456609</v>
      </c>
      <c r="AB206" s="35">
        <f t="shared" si="222"/>
        <v>7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127.86549075092596</v>
      </c>
      <c r="AD206" s="57">
        <v>0</v>
      </c>
      <c r="AE206" s="57">
        <v>0</v>
      </c>
      <c r="AF206" s="61">
        <f t="shared" si="210"/>
        <v>7</v>
      </c>
      <c r="AG206" s="40">
        <f t="shared" si="223"/>
        <v>0</v>
      </c>
      <c r="AH206" s="40">
        <f t="shared" si="224"/>
        <v>0</v>
      </c>
      <c r="AI206" s="44">
        <f t="shared" si="225"/>
        <v>895.05843525648174</v>
      </c>
      <c r="AJ206" s="35">
        <f t="shared" si="211"/>
        <v>7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138.17180599503834</v>
      </c>
      <c r="AL206" s="57">
        <v>0</v>
      </c>
      <c r="AM206" s="57">
        <v>0</v>
      </c>
      <c r="AN206" s="61">
        <f t="shared" si="212"/>
        <v>7</v>
      </c>
      <c r="AO206" s="40">
        <f t="shared" si="226"/>
        <v>0</v>
      </c>
      <c r="AP206" s="40">
        <f t="shared" si="227"/>
        <v>0</v>
      </c>
      <c r="AQ206" s="44">
        <f t="shared" si="228"/>
        <v>967.20264196526841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1</v>
      </c>
      <c r="G207" s="35">
        <f>SUMIFS(WORKING!$AC$3:$AC$6802,WORKING!$A$3:$A$6802,Results!$D$3,WORKING!$B$3:$B$6802,Results!A207,WORKING!$C$3:$C$6802,Results!C207)/1000</f>
        <v>191.30644999999998</v>
      </c>
      <c r="H207" s="35">
        <f t="shared" si="213"/>
        <v>191.30644999999998</v>
      </c>
      <c r="I207" s="187">
        <v>1</v>
      </c>
      <c r="J207" s="212" t="s">
        <v>754</v>
      </c>
      <c r="K207" s="217">
        <f t="shared" si="214"/>
        <v>191.30644999999998</v>
      </c>
      <c r="L207" s="34">
        <f t="shared" si="207"/>
        <v>1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207.62059867892697</v>
      </c>
      <c r="N207" s="57">
        <v>0</v>
      </c>
      <c r="O207" s="57">
        <v>0</v>
      </c>
      <c r="P207" s="61">
        <f t="shared" si="208"/>
        <v>1</v>
      </c>
      <c r="Q207" s="40">
        <f t="shared" si="215"/>
        <v>0</v>
      </c>
      <c r="R207" s="40">
        <f t="shared" si="216"/>
        <v>0</v>
      </c>
      <c r="S207" s="44">
        <f t="shared" si="217"/>
        <v>207.62059867892697</v>
      </c>
      <c r="T207" s="35">
        <f t="shared" si="218"/>
        <v>1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225.07496708699591</v>
      </c>
      <c r="V207" s="57">
        <v>0</v>
      </c>
      <c r="W207" s="57">
        <v>0</v>
      </c>
      <c r="X207" s="61">
        <f t="shared" si="209"/>
        <v>1</v>
      </c>
      <c r="Y207" s="40">
        <f t="shared" si="219"/>
        <v>0</v>
      </c>
      <c r="Z207" s="40">
        <f t="shared" si="220"/>
        <v>0</v>
      </c>
      <c r="AA207" s="44">
        <f t="shared" si="221"/>
        <v>225.07496708699591</v>
      </c>
      <c r="AB207" s="35">
        <f t="shared" si="222"/>
        <v>1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243.76898602020484</v>
      </c>
      <c r="AD207" s="57">
        <v>0</v>
      </c>
      <c r="AE207" s="57">
        <v>0</v>
      </c>
      <c r="AF207" s="61">
        <f t="shared" si="210"/>
        <v>1</v>
      </c>
      <c r="AG207" s="40">
        <f t="shared" si="223"/>
        <v>0</v>
      </c>
      <c r="AH207" s="40">
        <f t="shared" si="224"/>
        <v>0</v>
      </c>
      <c r="AI207" s="44">
        <f t="shared" si="225"/>
        <v>243.76898602020484</v>
      </c>
      <c r="AJ207" s="35">
        <f t="shared" si="211"/>
        <v>1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263.52241825884175</v>
      </c>
      <c r="AL207" s="57">
        <v>0</v>
      </c>
      <c r="AM207" s="57">
        <v>0</v>
      </c>
      <c r="AN207" s="61">
        <f t="shared" si="212"/>
        <v>1</v>
      </c>
      <c r="AO207" s="40">
        <f t="shared" si="226"/>
        <v>0</v>
      </c>
      <c r="AP207" s="40">
        <f t="shared" si="227"/>
        <v>0</v>
      </c>
      <c r="AQ207" s="44">
        <f t="shared" si="228"/>
        <v>263.52241825884175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59.448699999999995</v>
      </c>
      <c r="H208" s="35">
        <f t="shared" si="213"/>
        <v>0</v>
      </c>
      <c r="I208" s="187">
        <v>0</v>
      </c>
      <c r="J208" s="212">
        <v>0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8</v>
      </c>
      <c r="G209" s="35">
        <f>SUMIFS(WORKING!$AC$3:$AC$6802,WORKING!$A$3:$A$6802,Results!$D$3,WORKING!$B$3:$B$6802,Results!A209,WORKING!$C$3:$C$6802,Results!C209)/1000</f>
        <v>1853.4290799999999</v>
      </c>
      <c r="H209" s="35">
        <f t="shared" si="213"/>
        <v>231.67863499999999</v>
      </c>
      <c r="I209" s="187">
        <v>9</v>
      </c>
      <c r="J209" s="212">
        <v>1237</v>
      </c>
      <c r="K209" s="217">
        <f t="shared" si="214"/>
        <v>137.44444444444446</v>
      </c>
      <c r="L209" s="34">
        <f t="shared" si="207"/>
        <v>9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149.5940856989088</v>
      </c>
      <c r="N209" s="57">
        <v>0</v>
      </c>
      <c r="O209" s="57">
        <v>1</v>
      </c>
      <c r="P209" s="61">
        <f t="shared" si="208"/>
        <v>8</v>
      </c>
      <c r="Q209" s="40">
        <f t="shared" si="215"/>
        <v>0</v>
      </c>
      <c r="R209" s="40">
        <f t="shared" si="216"/>
        <v>-149.5940856989088</v>
      </c>
      <c r="S209" s="44">
        <f t="shared" si="217"/>
        <v>1196.7526855912704</v>
      </c>
      <c r="T209" s="35">
        <f t="shared" si="218"/>
        <v>8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162.30527284192041</v>
      </c>
      <c r="V209" s="57">
        <v>0</v>
      </c>
      <c r="W209" s="57">
        <v>0</v>
      </c>
      <c r="X209" s="61">
        <f t="shared" si="209"/>
        <v>8</v>
      </c>
      <c r="Y209" s="40">
        <f t="shared" si="219"/>
        <v>0</v>
      </c>
      <c r="Z209" s="40">
        <f t="shared" si="220"/>
        <v>0</v>
      </c>
      <c r="AA209" s="44">
        <f t="shared" si="221"/>
        <v>1298.4421827353633</v>
      </c>
      <c r="AB209" s="35">
        <f t="shared" si="222"/>
        <v>8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175.93208621113021</v>
      </c>
      <c r="AD209" s="57">
        <v>0</v>
      </c>
      <c r="AE209" s="57">
        <v>1</v>
      </c>
      <c r="AF209" s="61">
        <f t="shared" si="210"/>
        <v>7</v>
      </c>
      <c r="AG209" s="40">
        <f t="shared" si="223"/>
        <v>0</v>
      </c>
      <c r="AH209" s="40">
        <f t="shared" si="224"/>
        <v>-175.93208621113021</v>
      </c>
      <c r="AI209" s="44">
        <f t="shared" si="225"/>
        <v>1231.5246034779116</v>
      </c>
      <c r="AJ209" s="35">
        <f t="shared" si="211"/>
        <v>7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190.34644644418151</v>
      </c>
      <c r="AL209" s="57">
        <v>0</v>
      </c>
      <c r="AM209" s="57">
        <v>0</v>
      </c>
      <c r="AN209" s="61">
        <f t="shared" si="212"/>
        <v>7</v>
      </c>
      <c r="AO209" s="40">
        <f t="shared" si="226"/>
        <v>0</v>
      </c>
      <c r="AP209" s="40">
        <f t="shared" si="227"/>
        <v>0</v>
      </c>
      <c r="AQ209" s="44">
        <f t="shared" si="228"/>
        <v>1332.4251251092705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16</v>
      </c>
      <c r="G210" s="35">
        <f>SUMIFS(WORKING!$AC$3:$AC$6802,WORKING!$A$3:$A$6802,Results!$D$3,WORKING!$B$3:$B$6802,Results!A210,WORKING!$C$3:$C$6802,Results!C210)/1000</f>
        <v>4413.5745499999994</v>
      </c>
      <c r="H210" s="35">
        <f t="shared" si="213"/>
        <v>275.84840937499996</v>
      </c>
      <c r="I210" s="187">
        <v>15</v>
      </c>
      <c r="J210" s="212">
        <v>4805</v>
      </c>
      <c r="K210" s="217">
        <f t="shared" si="214"/>
        <v>320.33333333333331</v>
      </c>
      <c r="L210" s="34">
        <f t="shared" si="207"/>
        <v>15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348.88607964568996</v>
      </c>
      <c r="N210" s="57">
        <v>0</v>
      </c>
      <c r="O210" s="57">
        <v>0</v>
      </c>
      <c r="P210" s="61">
        <f t="shared" si="208"/>
        <v>15</v>
      </c>
      <c r="Q210" s="40">
        <f t="shared" si="215"/>
        <v>0</v>
      </c>
      <c r="R210" s="40">
        <f t="shared" si="216"/>
        <v>0</v>
      </c>
      <c r="S210" s="44">
        <f t="shared" si="217"/>
        <v>5233.2911946853492</v>
      </c>
      <c r="T210" s="35">
        <f t="shared" si="218"/>
        <v>15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378.60668684024932</v>
      </c>
      <c r="V210" s="57">
        <v>0</v>
      </c>
      <c r="W210" s="57">
        <v>2</v>
      </c>
      <c r="X210" s="61">
        <f t="shared" si="209"/>
        <v>13</v>
      </c>
      <c r="Y210" s="40">
        <f t="shared" si="219"/>
        <v>0</v>
      </c>
      <c r="Z210" s="40">
        <f t="shared" si="220"/>
        <v>-757.21337368049865</v>
      </c>
      <c r="AA210" s="44">
        <f t="shared" si="221"/>
        <v>4921.8869289232416</v>
      </c>
      <c r="AB210" s="35">
        <f t="shared" si="222"/>
        <v>13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410.47529281352405</v>
      </c>
      <c r="AD210" s="57">
        <v>0</v>
      </c>
      <c r="AE210" s="57">
        <v>0</v>
      </c>
      <c r="AF210" s="61">
        <f t="shared" si="210"/>
        <v>13</v>
      </c>
      <c r="AG210" s="40">
        <f t="shared" si="223"/>
        <v>0</v>
      </c>
      <c r="AH210" s="40">
        <f t="shared" si="224"/>
        <v>0</v>
      </c>
      <c r="AI210" s="44">
        <f t="shared" si="225"/>
        <v>5336.1788065758128</v>
      </c>
      <c r="AJ210" s="35">
        <f t="shared" si="211"/>
        <v>13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444.1941437445098</v>
      </c>
      <c r="AL210" s="57">
        <v>0</v>
      </c>
      <c r="AM210" s="57">
        <v>2</v>
      </c>
      <c r="AN210" s="61">
        <f t="shared" si="212"/>
        <v>11</v>
      </c>
      <c r="AO210" s="40">
        <f t="shared" si="226"/>
        <v>0</v>
      </c>
      <c r="AP210" s="40">
        <f t="shared" si="227"/>
        <v>-888.3882874890196</v>
      </c>
      <c r="AQ210" s="44">
        <f t="shared" si="228"/>
        <v>4886.1355811896083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60</v>
      </c>
      <c r="G211" s="35">
        <f>SUMIFS(WORKING!$AC$3:$AC$6802,WORKING!$A$3:$A$6802,Results!$D$3,WORKING!$B$3:$B$6802,Results!A211,WORKING!$C$3:$C$6802,Results!C211)/1000</f>
        <v>21248.979669999997</v>
      </c>
      <c r="H211" s="35">
        <f t="shared" si="213"/>
        <v>354.14966116666659</v>
      </c>
      <c r="I211" s="187">
        <v>60</v>
      </c>
      <c r="J211" s="212">
        <v>20578</v>
      </c>
      <c r="K211" s="217">
        <f t="shared" si="214"/>
        <v>342.96666666666664</v>
      </c>
      <c r="L211" s="34">
        <f t="shared" si="207"/>
        <v>60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373.54588329699601</v>
      </c>
      <c r="N211" s="57">
        <v>0</v>
      </c>
      <c r="O211" s="57">
        <v>6</v>
      </c>
      <c r="P211" s="61">
        <f t="shared" si="208"/>
        <v>54</v>
      </c>
      <c r="Q211" s="40">
        <f t="shared" si="215"/>
        <v>0</v>
      </c>
      <c r="R211" s="40">
        <f t="shared" si="216"/>
        <v>-2241.2752997819762</v>
      </c>
      <c r="S211" s="44">
        <f t="shared" si="217"/>
        <v>20171.477698037783</v>
      </c>
      <c r="T211" s="35">
        <f t="shared" si="218"/>
        <v>54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405.37187648655879</v>
      </c>
      <c r="V211" s="57">
        <v>0</v>
      </c>
      <c r="W211" s="57">
        <v>4</v>
      </c>
      <c r="X211" s="61">
        <f t="shared" si="209"/>
        <v>50</v>
      </c>
      <c r="Y211" s="40">
        <f t="shared" si="219"/>
        <v>0</v>
      </c>
      <c r="Z211" s="40">
        <f t="shared" si="220"/>
        <v>-1621.4875059462352</v>
      </c>
      <c r="AA211" s="44">
        <f t="shared" si="221"/>
        <v>20268.593824327938</v>
      </c>
      <c r="AB211" s="35">
        <f t="shared" si="222"/>
        <v>50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439.49839694121272</v>
      </c>
      <c r="AD211" s="57">
        <v>0</v>
      </c>
      <c r="AE211" s="57">
        <v>1</v>
      </c>
      <c r="AF211" s="61">
        <f t="shared" si="210"/>
        <v>49</v>
      </c>
      <c r="AG211" s="40">
        <f t="shared" si="223"/>
        <v>0</v>
      </c>
      <c r="AH211" s="40">
        <f t="shared" si="224"/>
        <v>-439.49839694121272</v>
      </c>
      <c r="AI211" s="44">
        <f t="shared" si="225"/>
        <v>21535.421450119422</v>
      </c>
      <c r="AJ211" s="35">
        <f t="shared" si="211"/>
        <v>49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475.6066009569895</v>
      </c>
      <c r="AL211" s="57">
        <v>0</v>
      </c>
      <c r="AM211" s="57">
        <v>4</v>
      </c>
      <c r="AN211" s="61">
        <f t="shared" si="212"/>
        <v>45</v>
      </c>
      <c r="AO211" s="40">
        <f t="shared" si="226"/>
        <v>0</v>
      </c>
      <c r="AP211" s="40">
        <f t="shared" si="227"/>
        <v>-1902.426403827958</v>
      </c>
      <c r="AQ211" s="44">
        <f t="shared" si="228"/>
        <v>21402.297043064529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3</v>
      </c>
      <c r="G212" s="35">
        <f>SUMIFS(WORKING!$AC$3:$AC$6802,WORKING!$A$3:$A$6802,Results!$D$3,WORKING!$B$3:$B$6802,Results!A212,WORKING!$C$3:$C$6802,Results!C212)/1000</f>
        <v>2644.6105300000004</v>
      </c>
      <c r="H212" s="35">
        <f t="shared" si="213"/>
        <v>881.53684333333342</v>
      </c>
      <c r="I212" s="187">
        <v>7</v>
      </c>
      <c r="J212" s="212">
        <v>6174</v>
      </c>
      <c r="K212" s="217">
        <f t="shared" si="214"/>
        <v>882</v>
      </c>
      <c r="L212" s="34">
        <f t="shared" si="207"/>
        <v>7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962.64742185274019</v>
      </c>
      <c r="N212" s="57">
        <v>0</v>
      </c>
      <c r="O212" s="57">
        <v>0</v>
      </c>
      <c r="P212" s="61">
        <f t="shared" si="208"/>
        <v>7</v>
      </c>
      <c r="Q212" s="40">
        <f t="shared" si="215"/>
        <v>0</v>
      </c>
      <c r="R212" s="40">
        <f t="shared" si="216"/>
        <v>0</v>
      </c>
      <c r="S212" s="44">
        <f t="shared" si="217"/>
        <v>6738.5319529691815</v>
      </c>
      <c r="T212" s="35">
        <f t="shared" si="218"/>
        <v>7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1045.2895773920566</v>
      </c>
      <c r="V212" s="57">
        <v>0</v>
      </c>
      <c r="W212" s="57">
        <v>0</v>
      </c>
      <c r="X212" s="61">
        <f t="shared" si="209"/>
        <v>7</v>
      </c>
      <c r="Y212" s="40">
        <f t="shared" si="219"/>
        <v>0</v>
      </c>
      <c r="Z212" s="40">
        <f t="shared" si="220"/>
        <v>0</v>
      </c>
      <c r="AA212" s="44">
        <f t="shared" si="221"/>
        <v>7317.0270417443962</v>
      </c>
      <c r="AB212" s="35">
        <f t="shared" si="222"/>
        <v>7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1133.9657183853722</v>
      </c>
      <c r="AD212" s="57">
        <v>0</v>
      </c>
      <c r="AE212" s="57">
        <v>0</v>
      </c>
      <c r="AF212" s="61">
        <f t="shared" si="210"/>
        <v>7</v>
      </c>
      <c r="AG212" s="40">
        <f t="shared" si="223"/>
        <v>0</v>
      </c>
      <c r="AH212" s="40">
        <f t="shared" si="224"/>
        <v>0</v>
      </c>
      <c r="AI212" s="44">
        <f t="shared" si="225"/>
        <v>7937.7600286976049</v>
      </c>
      <c r="AJ212" s="35">
        <f t="shared" si="211"/>
        <v>7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1227.8631461019265</v>
      </c>
      <c r="AL212" s="57">
        <v>0</v>
      </c>
      <c r="AM212" s="57">
        <v>0</v>
      </c>
      <c r="AN212" s="61">
        <f t="shared" si="212"/>
        <v>7</v>
      </c>
      <c r="AO212" s="40">
        <f t="shared" si="226"/>
        <v>0</v>
      </c>
      <c r="AP212" s="40">
        <f t="shared" si="227"/>
        <v>0</v>
      </c>
      <c r="AQ212" s="44">
        <f t="shared" si="228"/>
        <v>8595.0420227134855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50</v>
      </c>
      <c r="G213" s="35">
        <f>SUMIFS(WORKING!$AC$3:$AC$6802,WORKING!$A$3:$A$6802,Results!$D$3,WORKING!$B$3:$B$6802,Results!A213,WORKING!$C$3:$C$6802,Results!C213)/1000</f>
        <v>25922.075720000001</v>
      </c>
      <c r="H213" s="35">
        <f t="shared" si="213"/>
        <v>518.44151439999996</v>
      </c>
      <c r="I213" s="187">
        <v>49</v>
      </c>
      <c r="J213" s="212">
        <v>24190</v>
      </c>
      <c r="K213" s="217">
        <f t="shared" si="214"/>
        <v>493.67346938775512</v>
      </c>
      <c r="L213" s="34">
        <f t="shared" si="207"/>
        <v>49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538.30253769951173</v>
      </c>
      <c r="N213" s="57">
        <v>0</v>
      </c>
      <c r="O213" s="57">
        <v>2</v>
      </c>
      <c r="P213" s="61">
        <f t="shared" si="208"/>
        <v>47</v>
      </c>
      <c r="Q213" s="40">
        <f t="shared" si="215"/>
        <v>0</v>
      </c>
      <c r="R213" s="40">
        <f t="shared" si="216"/>
        <v>-1076.6050753990235</v>
      </c>
      <c r="S213" s="44">
        <f t="shared" si="217"/>
        <v>25300.219271877053</v>
      </c>
      <c r="T213" s="35">
        <f t="shared" si="218"/>
        <v>47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584.35519246528725</v>
      </c>
      <c r="V213" s="57">
        <v>0</v>
      </c>
      <c r="W213" s="57">
        <v>3</v>
      </c>
      <c r="X213" s="61">
        <f t="shared" si="209"/>
        <v>44</v>
      </c>
      <c r="Y213" s="40">
        <f t="shared" si="219"/>
        <v>0</v>
      </c>
      <c r="Z213" s="40">
        <f t="shared" si="220"/>
        <v>-1753.0655773958617</v>
      </c>
      <c r="AA213" s="44">
        <f t="shared" si="221"/>
        <v>25711.628468472638</v>
      </c>
      <c r="AB213" s="35">
        <f t="shared" si="222"/>
        <v>44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633.75502290619102</v>
      </c>
      <c r="AD213" s="57">
        <v>0</v>
      </c>
      <c r="AE213" s="57">
        <v>3</v>
      </c>
      <c r="AF213" s="61">
        <f t="shared" si="210"/>
        <v>41</v>
      </c>
      <c r="AG213" s="40">
        <f t="shared" si="223"/>
        <v>0</v>
      </c>
      <c r="AH213" s="40">
        <f t="shared" si="224"/>
        <v>-1901.265068718573</v>
      </c>
      <c r="AI213" s="44">
        <f t="shared" si="225"/>
        <v>25983.955939153831</v>
      </c>
      <c r="AJ213" s="35">
        <f t="shared" si="211"/>
        <v>41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686.04536498225366</v>
      </c>
      <c r="AL213" s="57">
        <v>0</v>
      </c>
      <c r="AM213" s="57">
        <v>4</v>
      </c>
      <c r="AN213" s="61">
        <f t="shared" si="212"/>
        <v>37</v>
      </c>
      <c r="AO213" s="40">
        <f t="shared" si="226"/>
        <v>0</v>
      </c>
      <c r="AP213" s="40">
        <f t="shared" si="227"/>
        <v>-2744.1814599290146</v>
      </c>
      <c r="AQ213" s="44">
        <f t="shared" si="228"/>
        <v>25383.678504343385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3</v>
      </c>
      <c r="G214" s="35">
        <f>SUMIFS(WORKING!$AC$3:$AC$6802,WORKING!$A$3:$A$6802,Results!$D$3,WORKING!$B$3:$B$6802,Results!A214,WORKING!$C$3:$C$6802,Results!C214)/1000</f>
        <v>2899.4583400000001</v>
      </c>
      <c r="H214" s="35">
        <f t="shared" si="213"/>
        <v>966.48611333333338</v>
      </c>
      <c r="I214" s="187">
        <v>9</v>
      </c>
      <c r="J214" s="212">
        <v>8695</v>
      </c>
      <c r="K214" s="217">
        <f t="shared" si="214"/>
        <v>966.11111111111109</v>
      </c>
      <c r="L214" s="34">
        <f t="shared" si="207"/>
        <v>9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1054.7662342313727</v>
      </c>
      <c r="N214" s="57">
        <v>0</v>
      </c>
      <c r="O214" s="57">
        <v>0</v>
      </c>
      <c r="P214" s="61">
        <f t="shared" si="208"/>
        <v>9</v>
      </c>
      <c r="Q214" s="40">
        <f t="shared" si="215"/>
        <v>0</v>
      </c>
      <c r="R214" s="40">
        <f t="shared" si="216"/>
        <v>0</v>
      </c>
      <c r="S214" s="44">
        <f t="shared" si="217"/>
        <v>9492.8961080823537</v>
      </c>
      <c r="T214" s="35">
        <f t="shared" si="218"/>
        <v>9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1145.1354685599654</v>
      </c>
      <c r="V214" s="57">
        <v>0</v>
      </c>
      <c r="W214" s="57">
        <v>0</v>
      </c>
      <c r="X214" s="61">
        <f t="shared" si="209"/>
        <v>9</v>
      </c>
      <c r="Y214" s="40">
        <f t="shared" si="219"/>
        <v>0</v>
      </c>
      <c r="Z214" s="40">
        <f t="shared" si="220"/>
        <v>0</v>
      </c>
      <c r="AA214" s="44">
        <f t="shared" si="221"/>
        <v>10306.219217039688</v>
      </c>
      <c r="AB214" s="35">
        <f t="shared" si="222"/>
        <v>9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1242.0853568129392</v>
      </c>
      <c r="AD214" s="57">
        <v>0</v>
      </c>
      <c r="AE214" s="57">
        <v>0</v>
      </c>
      <c r="AF214" s="61">
        <f t="shared" si="210"/>
        <v>9</v>
      </c>
      <c r="AG214" s="40">
        <f t="shared" si="223"/>
        <v>0</v>
      </c>
      <c r="AH214" s="40">
        <f t="shared" si="224"/>
        <v>0</v>
      </c>
      <c r="AI214" s="44">
        <f t="shared" si="225"/>
        <v>11178.768211316452</v>
      </c>
      <c r="AJ214" s="35">
        <f t="shared" si="211"/>
        <v>9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1344.7226854854557</v>
      </c>
      <c r="AL214" s="57">
        <v>0</v>
      </c>
      <c r="AM214" s="57">
        <v>0</v>
      </c>
      <c r="AN214" s="61">
        <f t="shared" si="212"/>
        <v>9</v>
      </c>
      <c r="AO214" s="40">
        <f t="shared" si="226"/>
        <v>0</v>
      </c>
      <c r="AP214" s="40">
        <f t="shared" si="227"/>
        <v>0</v>
      </c>
      <c r="AQ214" s="44">
        <f t="shared" si="228"/>
        <v>12102.504169369102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45</v>
      </c>
      <c r="G215" s="35">
        <f>SUMIFS(WORKING!$AC$3:$AC$6802,WORKING!$A$3:$A$6802,Results!$D$3,WORKING!$B$3:$B$6802,Results!A215,WORKING!$C$3:$C$6802,Results!C215)/1000</f>
        <v>33450.142220000002</v>
      </c>
      <c r="H215" s="35">
        <f t="shared" si="213"/>
        <v>743.33649377777783</v>
      </c>
      <c r="I215" s="187">
        <v>40</v>
      </c>
      <c r="J215" s="212">
        <v>32895</v>
      </c>
      <c r="K215" s="217">
        <f t="shared" si="214"/>
        <v>822.375</v>
      </c>
      <c r="L215" s="34">
        <f t="shared" si="207"/>
        <v>40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897.88165761388234</v>
      </c>
      <c r="N215" s="57">
        <v>0</v>
      </c>
      <c r="O215" s="57">
        <v>0</v>
      </c>
      <c r="P215" s="61">
        <f t="shared" si="208"/>
        <v>40</v>
      </c>
      <c r="Q215" s="40">
        <f t="shared" si="215"/>
        <v>0</v>
      </c>
      <c r="R215" s="40">
        <f t="shared" si="216"/>
        <v>0</v>
      </c>
      <c r="S215" s="44">
        <f t="shared" si="217"/>
        <v>35915.266304555291</v>
      </c>
      <c r="T215" s="35">
        <f t="shared" si="218"/>
        <v>40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974.85451236362019</v>
      </c>
      <c r="V215" s="57">
        <v>0</v>
      </c>
      <c r="W215" s="57">
        <v>4</v>
      </c>
      <c r="X215" s="61">
        <f t="shared" si="209"/>
        <v>36</v>
      </c>
      <c r="Y215" s="40">
        <f t="shared" si="219"/>
        <v>0</v>
      </c>
      <c r="Z215" s="40">
        <f t="shared" si="220"/>
        <v>-3899.4180494544808</v>
      </c>
      <c r="AA215" s="44">
        <f t="shared" si="221"/>
        <v>35094.762445090324</v>
      </c>
      <c r="AB215" s="35">
        <f t="shared" si="222"/>
        <v>36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1057.4368490171398</v>
      </c>
      <c r="AD215" s="57">
        <v>0</v>
      </c>
      <c r="AE215" s="57">
        <v>6</v>
      </c>
      <c r="AF215" s="61">
        <f t="shared" si="210"/>
        <v>30</v>
      </c>
      <c r="AG215" s="40">
        <f t="shared" si="223"/>
        <v>0</v>
      </c>
      <c r="AH215" s="40">
        <f t="shared" si="224"/>
        <v>-6344.6210941028385</v>
      </c>
      <c r="AI215" s="44">
        <f t="shared" si="225"/>
        <v>31723.105470514194</v>
      </c>
      <c r="AJ215" s="35">
        <f t="shared" si="211"/>
        <v>30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1144.8689809157142</v>
      </c>
      <c r="AL215" s="57">
        <v>0</v>
      </c>
      <c r="AM215" s="57">
        <v>4</v>
      </c>
      <c r="AN215" s="61">
        <f t="shared" si="212"/>
        <v>26</v>
      </c>
      <c r="AO215" s="40">
        <f t="shared" si="226"/>
        <v>0</v>
      </c>
      <c r="AP215" s="40">
        <f t="shared" si="227"/>
        <v>-4579.475923662857</v>
      </c>
      <c r="AQ215" s="44">
        <f t="shared" si="228"/>
        <v>29766.59350380857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22</v>
      </c>
      <c r="G216" s="35">
        <f>SUMIFS(WORKING!$AC$3:$AC$6802,WORKING!$A$3:$A$6802,Results!$D$3,WORKING!$B$3:$B$6802,Results!A216,WORKING!$C$3:$C$6802,Results!C216)/1000</f>
        <v>20894.434499999999</v>
      </c>
      <c r="H216" s="35">
        <f t="shared" si="213"/>
        <v>949.74702272727268</v>
      </c>
      <c r="I216" s="187">
        <v>19</v>
      </c>
      <c r="J216" s="212">
        <v>15961</v>
      </c>
      <c r="K216" s="217">
        <f t="shared" si="214"/>
        <v>840.0526315789474</v>
      </c>
      <c r="L216" s="34">
        <f t="shared" si="207"/>
        <v>19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880.51773668666897</v>
      </c>
      <c r="N216" s="57">
        <v>0</v>
      </c>
      <c r="O216" s="57">
        <v>3</v>
      </c>
      <c r="P216" s="61">
        <f t="shared" si="208"/>
        <v>16</v>
      </c>
      <c r="Q216" s="40">
        <f t="shared" si="215"/>
        <v>0</v>
      </c>
      <c r="R216" s="40">
        <f t="shared" si="216"/>
        <v>-2641.5532100600067</v>
      </c>
      <c r="S216" s="44">
        <f t="shared" si="217"/>
        <v>14088.283786986703</v>
      </c>
      <c r="T216" s="35">
        <f t="shared" si="218"/>
        <v>16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947.05513737672754</v>
      </c>
      <c r="V216" s="57">
        <v>0</v>
      </c>
      <c r="W216" s="57">
        <v>1</v>
      </c>
      <c r="X216" s="61">
        <f t="shared" si="209"/>
        <v>15</v>
      </c>
      <c r="Y216" s="40">
        <f t="shared" si="219"/>
        <v>0</v>
      </c>
      <c r="Z216" s="40">
        <f t="shared" si="220"/>
        <v>-947.05513737672754</v>
      </c>
      <c r="AA216" s="44">
        <f t="shared" si="221"/>
        <v>14205.827060650914</v>
      </c>
      <c r="AB216" s="35">
        <f t="shared" si="222"/>
        <v>15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1017.6595554510502</v>
      </c>
      <c r="AD216" s="57">
        <v>0</v>
      </c>
      <c r="AE216" s="57">
        <v>0</v>
      </c>
      <c r="AF216" s="61">
        <f t="shared" si="210"/>
        <v>15</v>
      </c>
      <c r="AG216" s="40">
        <f t="shared" si="223"/>
        <v>0</v>
      </c>
      <c r="AH216" s="40">
        <f t="shared" si="224"/>
        <v>0</v>
      </c>
      <c r="AI216" s="44">
        <f t="shared" si="225"/>
        <v>15264.893331765754</v>
      </c>
      <c r="AJ216" s="35">
        <f t="shared" si="211"/>
        <v>15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1091.462433547365</v>
      </c>
      <c r="AL216" s="57">
        <v>0</v>
      </c>
      <c r="AM216" s="57">
        <v>0</v>
      </c>
      <c r="AN216" s="61">
        <f t="shared" si="212"/>
        <v>15</v>
      </c>
      <c r="AO216" s="40">
        <f t="shared" si="226"/>
        <v>0</v>
      </c>
      <c r="AP216" s="40">
        <f t="shared" si="227"/>
        <v>0</v>
      </c>
      <c r="AQ216" s="44">
        <f t="shared" si="228"/>
        <v>16371.936503210474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9</v>
      </c>
      <c r="G217" s="35">
        <f>SUMIFS(WORKING!$AC$3:$AC$6802,WORKING!$A$3:$A$6802,Results!$D$3,WORKING!$B$3:$B$6802,Results!A217,WORKING!$C$3:$C$6802,Results!C217)/1000</f>
        <v>9585.7987700000012</v>
      </c>
      <c r="H217" s="35">
        <f t="shared" si="213"/>
        <v>1065.0887522222224</v>
      </c>
      <c r="I217" s="187">
        <v>8</v>
      </c>
      <c r="J217" s="212">
        <v>9768</v>
      </c>
      <c r="K217" s="217">
        <f t="shared" si="214"/>
        <v>1221</v>
      </c>
      <c r="L217" s="34">
        <f t="shared" si="207"/>
        <v>8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1279.9538011714749</v>
      </c>
      <c r="N217" s="57">
        <v>0</v>
      </c>
      <c r="O217" s="57">
        <v>0</v>
      </c>
      <c r="P217" s="61">
        <f t="shared" si="208"/>
        <v>8</v>
      </c>
      <c r="Q217" s="40">
        <f t="shared" si="215"/>
        <v>0</v>
      </c>
      <c r="R217" s="40">
        <f t="shared" si="216"/>
        <v>0</v>
      </c>
      <c r="S217" s="44">
        <f t="shared" si="217"/>
        <v>10239.630409371799</v>
      </c>
      <c r="T217" s="35">
        <f t="shared" si="218"/>
        <v>8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1376.8241297789698</v>
      </c>
      <c r="V217" s="57">
        <v>0</v>
      </c>
      <c r="W217" s="57">
        <v>0</v>
      </c>
      <c r="X217" s="61">
        <f t="shared" si="209"/>
        <v>8</v>
      </c>
      <c r="Y217" s="40">
        <f t="shared" si="219"/>
        <v>0</v>
      </c>
      <c r="Z217" s="40">
        <f t="shared" si="220"/>
        <v>0</v>
      </c>
      <c r="AA217" s="44">
        <f t="shared" si="221"/>
        <v>11014.593038231758</v>
      </c>
      <c r="AB217" s="35">
        <f t="shared" si="222"/>
        <v>8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1479.6286698523318</v>
      </c>
      <c r="AD217" s="57">
        <v>0</v>
      </c>
      <c r="AE217" s="57">
        <v>1</v>
      </c>
      <c r="AF217" s="61">
        <f t="shared" si="210"/>
        <v>7</v>
      </c>
      <c r="AG217" s="40">
        <f t="shared" si="223"/>
        <v>0</v>
      </c>
      <c r="AH217" s="40">
        <f t="shared" si="224"/>
        <v>-1479.6286698523318</v>
      </c>
      <c r="AI217" s="44">
        <f t="shared" si="225"/>
        <v>10357.400688966321</v>
      </c>
      <c r="AJ217" s="35">
        <f t="shared" si="211"/>
        <v>7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1587.1063675901421</v>
      </c>
      <c r="AL217" s="57">
        <v>0</v>
      </c>
      <c r="AM217" s="57">
        <v>0</v>
      </c>
      <c r="AN217" s="61">
        <f t="shared" si="212"/>
        <v>7</v>
      </c>
      <c r="AO217" s="40">
        <f t="shared" si="226"/>
        <v>0</v>
      </c>
      <c r="AP217" s="40">
        <f t="shared" si="227"/>
        <v>0</v>
      </c>
      <c r="AQ217" s="44">
        <f t="shared" si="228"/>
        <v>11109.744573130994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1</v>
      </c>
      <c r="G218" s="35">
        <f>SUMIFS(WORKING!$AC$3:$AC$6802,WORKING!$A$3:$A$6802,Results!$D$3,WORKING!$B$3:$B$6802,Results!A218,WORKING!$C$3:$C$6802,Results!C218)/1000</f>
        <v>1709.81979</v>
      </c>
      <c r="H218" s="35">
        <f t="shared" si="213"/>
        <v>1709.81979</v>
      </c>
      <c r="I218" s="187">
        <v>1</v>
      </c>
      <c r="J218" s="212">
        <v>1266</v>
      </c>
      <c r="K218" s="217">
        <f t="shared" si="214"/>
        <v>1266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1327.3090671379944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1327.3090671379944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1427.9597311540165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1427.9597311540165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1534.7935113529284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1534.7935113529284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1646.5047037036029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1646.5047037036029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>
        <v>0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>
        <v>0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225</v>
      </c>
      <c r="G224" s="41">
        <f>SUM(G204:G223)</f>
        <v>125576.99668999999</v>
      </c>
      <c r="H224" s="41">
        <f>IFERROR(G224/F224,0)</f>
        <v>558.11998528888887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225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126464.30645</v>
      </c>
      <c r="K224" s="41">
        <f>IFERROR(J224/I224,"")</f>
        <v>562.06358422222229</v>
      </c>
      <c r="L224" s="41">
        <f>SUM(L204:L223)</f>
        <v>225</v>
      </c>
      <c r="M224" s="41">
        <f>IFERROR(S224/P224,0)</f>
        <v>613.49396861308128</v>
      </c>
      <c r="N224" s="41">
        <f t="shared" ref="N224:T224" si="230">SUM(N204:N223)</f>
        <v>0</v>
      </c>
      <c r="O224" s="41">
        <f t="shared" si="230"/>
        <v>12</v>
      </c>
      <c r="P224" s="41">
        <f t="shared" si="230"/>
        <v>213</v>
      </c>
      <c r="Q224" s="41">
        <f t="shared" si="230"/>
        <v>0</v>
      </c>
      <c r="R224" s="41">
        <f t="shared" si="230"/>
        <v>-6109.027670939915</v>
      </c>
      <c r="S224" s="45">
        <f t="shared" si="230"/>
        <v>130674.21531458631</v>
      </c>
      <c r="T224" s="41">
        <f t="shared" si="230"/>
        <v>213</v>
      </c>
      <c r="U224" s="41">
        <f>IFERROR(AA224/X224,0)</f>
        <v>666.42593978453192</v>
      </c>
      <c r="V224" s="41">
        <f t="shared" ref="V224:AB224" si="231">SUM(V204:V223)</f>
        <v>0</v>
      </c>
      <c r="W224" s="41">
        <f t="shared" si="231"/>
        <v>14</v>
      </c>
      <c r="X224" s="41">
        <f t="shared" si="231"/>
        <v>199</v>
      </c>
      <c r="Y224" s="41">
        <f t="shared" si="231"/>
        <v>0</v>
      </c>
      <c r="Z224" s="41">
        <f t="shared" si="231"/>
        <v>-8978.2396438538035</v>
      </c>
      <c r="AA224" s="45">
        <f t="shared" si="231"/>
        <v>132618.76201712186</v>
      </c>
      <c r="AB224" s="41">
        <f t="shared" si="231"/>
        <v>199</v>
      </c>
      <c r="AC224" s="41">
        <f>IFERROR(AI224/AF224,0)</f>
        <v>712.42047841292481</v>
      </c>
      <c r="AD224" s="41">
        <f t="shared" ref="AD224:AJ224" si="232">SUM(AD204:AD223)</f>
        <v>0</v>
      </c>
      <c r="AE224" s="41">
        <f t="shared" si="232"/>
        <v>12</v>
      </c>
      <c r="AF224" s="41">
        <f t="shared" si="232"/>
        <v>187</v>
      </c>
      <c r="AG224" s="41">
        <f t="shared" si="232"/>
        <v>0</v>
      </c>
      <c r="AH224" s="41">
        <f t="shared" si="232"/>
        <v>-10340.945315826088</v>
      </c>
      <c r="AI224" s="45">
        <f t="shared" si="232"/>
        <v>133222.62946321693</v>
      </c>
      <c r="AJ224" s="41">
        <f t="shared" si="232"/>
        <v>187</v>
      </c>
      <c r="AK224" s="41">
        <f>IFERROR(AQ224/AN224,0)</f>
        <v>773.56986583738217</v>
      </c>
      <c r="AL224" s="41">
        <f t="shared" ref="AL224:AQ224" si="233">SUM(AL204:AL223)</f>
        <v>0</v>
      </c>
      <c r="AM224" s="41">
        <f t="shared" si="233"/>
        <v>14</v>
      </c>
      <c r="AN224" s="41">
        <f t="shared" si="233"/>
        <v>173</v>
      </c>
      <c r="AO224" s="41">
        <f t="shared" si="233"/>
        <v>0</v>
      </c>
      <c r="AP224" s="41">
        <f t="shared" si="233"/>
        <v>-10114.472074908848</v>
      </c>
      <c r="AQ224" s="45">
        <f t="shared" si="233"/>
        <v>133827.58678986711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147829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150374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158046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170057.49600000001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17154.784685413688</v>
      </c>
      <c r="T226" s="39"/>
      <c r="U226" s="39"/>
      <c r="V226" s="53"/>
      <c r="W226" s="53"/>
      <c r="X226" s="110"/>
      <c r="Y226" s="39"/>
      <c r="Z226" s="39"/>
      <c r="AA226" s="54">
        <f>AA225-AA224</f>
        <v>17755.237982878141</v>
      </c>
      <c r="AB226" s="39"/>
      <c r="AC226" s="53"/>
      <c r="AD226" s="53"/>
      <c r="AE226" s="110"/>
      <c r="AF226" s="39"/>
      <c r="AG226" s="39"/>
      <c r="AH226" s="39"/>
      <c r="AI226" s="54">
        <f>AI225-AI224</f>
        <v>24823.37053678307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36229.909210132901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Trade Export South Africa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9</v>
      </c>
      <c r="G232" s="35">
        <f>SUMIFS(WORKING!$AC$3:$AC$6802,WORKING!$A$3:$A$6802,Results!$D$3,WORKING!$B$3:$B$6802,Results!A232,WORKING!$C$3:$C$6802,Results!C232)/1000</f>
        <v>554.76164000000006</v>
      </c>
      <c r="H232" s="35">
        <f>IFERROR(G232/F232,0)</f>
        <v>61.640182222222229</v>
      </c>
      <c r="I232" s="156">
        <v>0</v>
      </c>
      <c r="J232" s="211">
        <v>0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67.319708612177777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73.11256953825567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79.329696888941228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85.914458379207773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7</v>
      </c>
      <c r="G233" s="35">
        <f>SUMIFS(WORKING!$AC$3:$AC$6802,WORKING!$A$3:$A$6802,Results!$D$3,WORKING!$B$3:$B$6802,Results!A233,WORKING!$C$3:$C$6802,Results!C233)/1000</f>
        <v>701.01910000000009</v>
      </c>
      <c r="H233" s="35">
        <f t="shared" ref="H233:H251" si="240">IFERROR(G233/F233,0)</f>
        <v>100.14558571428573</v>
      </c>
      <c r="I233" s="187">
        <v>0</v>
      </c>
      <c r="J233" s="212">
        <v>0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109.37299998200001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118.7845466304511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128.8853905531715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139.58352239603747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1</v>
      </c>
      <c r="G234" s="35">
        <f>SUMIFS(WORKING!$AC$3:$AC$6802,WORKING!$A$3:$A$6802,Results!$D$3,WORKING!$B$3:$B$6802,Results!A234,WORKING!$C$3:$C$6802,Results!C234)/1000</f>
        <v>88</v>
      </c>
      <c r="H234" s="35">
        <f t="shared" si="240"/>
        <v>88</v>
      </c>
      <c r="I234" s="187">
        <v>17</v>
      </c>
      <c r="J234" s="212">
        <v>1344</v>
      </c>
      <c r="K234" s="217">
        <f t="shared" si="241"/>
        <v>79.058823529411768</v>
      </c>
      <c r="L234" s="34">
        <f t="shared" si="234"/>
        <v>17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86.34330352941177</v>
      </c>
      <c r="N234" s="57">
        <v>0</v>
      </c>
      <c r="O234" s="57">
        <v>7</v>
      </c>
      <c r="P234" s="61">
        <f t="shared" si="235"/>
        <v>10</v>
      </c>
      <c r="Q234" s="40">
        <f t="shared" si="242"/>
        <v>0</v>
      </c>
      <c r="R234" s="40">
        <f t="shared" si="243"/>
        <v>-604.40312470588242</v>
      </c>
      <c r="S234" s="44">
        <f t="shared" si="244"/>
        <v>863.43303529411764</v>
      </c>
      <c r="T234" s="35">
        <f t="shared" si="245"/>
        <v>10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93.773144798117642</v>
      </c>
      <c r="V234" s="57">
        <v>0</v>
      </c>
      <c r="W234" s="57">
        <v>2</v>
      </c>
      <c r="X234" s="61">
        <f t="shared" si="236"/>
        <v>8</v>
      </c>
      <c r="Y234" s="40">
        <f t="shared" si="246"/>
        <v>0</v>
      </c>
      <c r="Z234" s="40">
        <f t="shared" si="247"/>
        <v>-187.54628959623528</v>
      </c>
      <c r="AA234" s="44">
        <f t="shared" si="248"/>
        <v>750.18515838494113</v>
      </c>
      <c r="AB234" s="35">
        <f t="shared" si="249"/>
        <v>8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101.74714416602556</v>
      </c>
      <c r="AD234" s="57">
        <v>0</v>
      </c>
      <c r="AE234" s="57">
        <v>3</v>
      </c>
      <c r="AF234" s="61">
        <f t="shared" si="237"/>
        <v>5</v>
      </c>
      <c r="AG234" s="40">
        <f t="shared" si="250"/>
        <v>0</v>
      </c>
      <c r="AH234" s="40">
        <f t="shared" si="251"/>
        <v>-305.24143249807668</v>
      </c>
      <c r="AI234" s="44">
        <f t="shared" si="252"/>
        <v>508.73572083012783</v>
      </c>
      <c r="AJ234" s="35">
        <f t="shared" si="238"/>
        <v>5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110.1926658675265</v>
      </c>
      <c r="AL234" s="57">
        <v>0</v>
      </c>
      <c r="AM234" s="57">
        <v>1</v>
      </c>
      <c r="AN234" s="61">
        <f t="shared" si="239"/>
        <v>4</v>
      </c>
      <c r="AO234" s="40">
        <f t="shared" si="253"/>
        <v>0</v>
      </c>
      <c r="AP234" s="40">
        <f t="shared" si="254"/>
        <v>-110.1926658675265</v>
      </c>
      <c r="AQ234" s="44">
        <f t="shared" si="255"/>
        <v>440.770663470106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0.9</v>
      </c>
      <c r="H235" s="35">
        <f t="shared" si="240"/>
        <v>0</v>
      </c>
      <c r="I235" s="187">
        <v>0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5</v>
      </c>
      <c r="G236" s="35">
        <f>SUMIFS(WORKING!$AC$3:$AC$6802,WORKING!$A$3:$A$6802,Results!$D$3,WORKING!$B$3:$B$6802,Results!A236,WORKING!$C$3:$C$6802,Results!C236)/1000</f>
        <v>918.76823999999999</v>
      </c>
      <c r="H236" s="35">
        <f t="shared" si="240"/>
        <v>183.753648</v>
      </c>
      <c r="I236" s="187">
        <v>5</v>
      </c>
      <c r="J236" s="212" t="s">
        <v>754</v>
      </c>
      <c r="K236" s="217">
        <f t="shared" si="241"/>
        <v>183.753648</v>
      </c>
      <c r="L236" s="34">
        <f t="shared" si="234"/>
        <v>5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199.77369375079468</v>
      </c>
      <c r="N236" s="57">
        <v>0</v>
      </c>
      <c r="O236" s="57">
        <v>0</v>
      </c>
      <c r="P236" s="61">
        <f t="shared" si="235"/>
        <v>5</v>
      </c>
      <c r="Q236" s="40">
        <f t="shared" si="242"/>
        <v>0</v>
      </c>
      <c r="R236" s="40">
        <f t="shared" si="243"/>
        <v>0</v>
      </c>
      <c r="S236" s="44">
        <f t="shared" si="244"/>
        <v>998.86846875397339</v>
      </c>
      <c r="T236" s="35">
        <f t="shared" si="245"/>
        <v>5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216.68038866804554</v>
      </c>
      <c r="V236" s="57">
        <v>0</v>
      </c>
      <c r="W236" s="57">
        <v>1</v>
      </c>
      <c r="X236" s="61">
        <f t="shared" si="236"/>
        <v>4</v>
      </c>
      <c r="Y236" s="40">
        <f t="shared" si="246"/>
        <v>0</v>
      </c>
      <c r="Z236" s="40">
        <f t="shared" si="247"/>
        <v>-216.68038866804554</v>
      </c>
      <c r="AA236" s="44">
        <f t="shared" si="248"/>
        <v>866.72155467218215</v>
      </c>
      <c r="AB236" s="35">
        <f t="shared" si="249"/>
        <v>4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234.79836647159658</v>
      </c>
      <c r="AD236" s="57">
        <v>0</v>
      </c>
      <c r="AE236" s="57">
        <v>1</v>
      </c>
      <c r="AF236" s="61">
        <f t="shared" si="237"/>
        <v>3</v>
      </c>
      <c r="AG236" s="40">
        <f t="shared" si="250"/>
        <v>0</v>
      </c>
      <c r="AH236" s="40">
        <f t="shared" si="251"/>
        <v>-234.79836647159658</v>
      </c>
      <c r="AI236" s="44">
        <f t="shared" si="252"/>
        <v>704.39509941478968</v>
      </c>
      <c r="AJ236" s="35">
        <f t="shared" si="238"/>
        <v>3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253.95555364409739</v>
      </c>
      <c r="AL236" s="57">
        <v>0</v>
      </c>
      <c r="AM236" s="57">
        <v>0</v>
      </c>
      <c r="AN236" s="61">
        <f t="shared" si="239"/>
        <v>3</v>
      </c>
      <c r="AO236" s="40">
        <f t="shared" si="253"/>
        <v>0</v>
      </c>
      <c r="AP236" s="40">
        <f t="shared" si="254"/>
        <v>0</v>
      </c>
      <c r="AQ236" s="44">
        <f t="shared" si="255"/>
        <v>761.86666093229223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1</v>
      </c>
      <c r="G237" s="35">
        <f>SUMIFS(WORKING!$AC$3:$AC$6802,WORKING!$A$3:$A$6802,Results!$D$3,WORKING!$B$3:$B$6802,Results!A237,WORKING!$C$3:$C$6802,Results!C237)/1000</f>
        <v>244.34795000000003</v>
      </c>
      <c r="H237" s="35">
        <f t="shared" si="240"/>
        <v>244.34795000000003</v>
      </c>
      <c r="I237" s="187">
        <v>1</v>
      </c>
      <c r="J237" s="212" t="s">
        <v>754</v>
      </c>
      <c r="K237" s="217">
        <f t="shared" si="241"/>
        <v>244.34795000000003</v>
      </c>
      <c r="L237" s="34">
        <f t="shared" si="234"/>
        <v>1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265.56879403812832</v>
      </c>
      <c r="N237" s="57">
        <v>0</v>
      </c>
      <c r="O237" s="57">
        <v>0</v>
      </c>
      <c r="P237" s="61">
        <f t="shared" si="235"/>
        <v>1</v>
      </c>
      <c r="Q237" s="40">
        <f t="shared" si="242"/>
        <v>0</v>
      </c>
      <c r="R237" s="40">
        <f t="shared" si="243"/>
        <v>0</v>
      </c>
      <c r="S237" s="44">
        <f t="shared" si="244"/>
        <v>265.56879403812832</v>
      </c>
      <c r="T237" s="35">
        <f t="shared" si="245"/>
        <v>1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288.01906064530584</v>
      </c>
      <c r="V237" s="57">
        <v>0</v>
      </c>
      <c r="W237" s="57">
        <v>0</v>
      </c>
      <c r="X237" s="61">
        <f t="shared" si="236"/>
        <v>1</v>
      </c>
      <c r="Y237" s="40">
        <f t="shared" si="246"/>
        <v>0</v>
      </c>
      <c r="Z237" s="40">
        <f t="shared" si="247"/>
        <v>0</v>
      </c>
      <c r="AA237" s="44">
        <f t="shared" si="248"/>
        <v>288.01906064530584</v>
      </c>
      <c r="AB237" s="35">
        <f t="shared" si="249"/>
        <v>1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312.07541139165971</v>
      </c>
      <c r="AD237" s="57">
        <v>0</v>
      </c>
      <c r="AE237" s="57">
        <v>0</v>
      </c>
      <c r="AF237" s="61">
        <f t="shared" si="237"/>
        <v>1</v>
      </c>
      <c r="AG237" s="40">
        <f t="shared" si="250"/>
        <v>0</v>
      </c>
      <c r="AH237" s="40">
        <f t="shared" si="251"/>
        <v>0</v>
      </c>
      <c r="AI237" s="44">
        <f t="shared" si="252"/>
        <v>312.07541139165971</v>
      </c>
      <c r="AJ237" s="35">
        <f t="shared" si="238"/>
        <v>1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337.50872302362609</v>
      </c>
      <c r="AL237" s="57">
        <v>0</v>
      </c>
      <c r="AM237" s="57">
        <v>0</v>
      </c>
      <c r="AN237" s="61">
        <f t="shared" si="239"/>
        <v>1</v>
      </c>
      <c r="AO237" s="40">
        <f t="shared" si="253"/>
        <v>0</v>
      </c>
      <c r="AP237" s="40">
        <f t="shared" si="254"/>
        <v>0</v>
      </c>
      <c r="AQ237" s="44">
        <f t="shared" si="255"/>
        <v>337.50872302362609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3</v>
      </c>
      <c r="G238" s="35">
        <f>SUMIFS(WORKING!$AC$3:$AC$6802,WORKING!$A$3:$A$6802,Results!$D$3,WORKING!$B$3:$B$6802,Results!A238,WORKING!$C$3:$C$6802,Results!C238)/1000</f>
        <v>941.77778999999987</v>
      </c>
      <c r="H238" s="35">
        <f t="shared" si="240"/>
        <v>313.92592999999994</v>
      </c>
      <c r="I238" s="187">
        <v>3</v>
      </c>
      <c r="J238" s="212" t="s">
        <v>754</v>
      </c>
      <c r="K238" s="217">
        <f t="shared" si="241"/>
        <v>313.92592999999994</v>
      </c>
      <c r="L238" s="34">
        <f t="shared" si="234"/>
        <v>3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341.56211282825745</v>
      </c>
      <c r="N238" s="57">
        <v>3</v>
      </c>
      <c r="O238" s="57">
        <v>0</v>
      </c>
      <c r="P238" s="61">
        <f t="shared" si="235"/>
        <v>6</v>
      </c>
      <c r="Q238" s="40">
        <f t="shared" si="242"/>
        <v>1024.6863384847725</v>
      </c>
      <c r="R238" s="40">
        <f t="shared" si="243"/>
        <v>0</v>
      </c>
      <c r="S238" s="44">
        <f t="shared" si="244"/>
        <v>2049.372676969545</v>
      </c>
      <c r="T238" s="35">
        <f t="shared" si="245"/>
        <v>6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370.55508867269725</v>
      </c>
      <c r="V238" s="57">
        <v>0</v>
      </c>
      <c r="W238" s="57">
        <v>1</v>
      </c>
      <c r="X238" s="61">
        <f t="shared" si="236"/>
        <v>5</v>
      </c>
      <c r="Y238" s="40">
        <f t="shared" si="246"/>
        <v>0</v>
      </c>
      <c r="Z238" s="40">
        <f t="shared" si="247"/>
        <v>-370.55508867269725</v>
      </c>
      <c r="AA238" s="44">
        <f t="shared" si="248"/>
        <v>1852.7754433634864</v>
      </c>
      <c r="AB238" s="35">
        <f t="shared" si="249"/>
        <v>5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401.6334017954739</v>
      </c>
      <c r="AD238" s="57">
        <v>0</v>
      </c>
      <c r="AE238" s="57">
        <v>0</v>
      </c>
      <c r="AF238" s="61">
        <f t="shared" si="237"/>
        <v>5</v>
      </c>
      <c r="AG238" s="40">
        <f t="shared" si="250"/>
        <v>0</v>
      </c>
      <c r="AH238" s="40">
        <f t="shared" si="251"/>
        <v>0</v>
      </c>
      <c r="AI238" s="44">
        <f t="shared" si="252"/>
        <v>2008.1670089773695</v>
      </c>
      <c r="AJ238" s="35">
        <f t="shared" si="238"/>
        <v>5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434.50384969232783</v>
      </c>
      <c r="AL238" s="57">
        <v>0</v>
      </c>
      <c r="AM238" s="57">
        <v>1</v>
      </c>
      <c r="AN238" s="61">
        <f t="shared" si="239"/>
        <v>4</v>
      </c>
      <c r="AO238" s="40">
        <f t="shared" si="253"/>
        <v>0</v>
      </c>
      <c r="AP238" s="40">
        <f t="shared" si="254"/>
        <v>-434.50384969232783</v>
      </c>
      <c r="AQ238" s="44">
        <f t="shared" si="255"/>
        <v>1738.0153987693113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43</v>
      </c>
      <c r="G239" s="35">
        <f>SUMIFS(WORKING!$AC$3:$AC$6802,WORKING!$A$3:$A$6802,Results!$D$3,WORKING!$B$3:$B$6802,Results!A239,WORKING!$C$3:$C$6802,Results!C239)/1000</f>
        <v>13958.870429999999</v>
      </c>
      <c r="H239" s="35">
        <f t="shared" si="240"/>
        <v>324.62489372093023</v>
      </c>
      <c r="I239" s="187">
        <v>42</v>
      </c>
      <c r="J239" s="212">
        <v>13634</v>
      </c>
      <c r="K239" s="217">
        <f t="shared" si="241"/>
        <v>324.61904761904759</v>
      </c>
      <c r="L239" s="34">
        <f t="shared" si="234"/>
        <v>42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353.47465745567411</v>
      </c>
      <c r="N239" s="57">
        <v>2</v>
      </c>
      <c r="O239" s="57">
        <v>1</v>
      </c>
      <c r="P239" s="61">
        <f t="shared" si="235"/>
        <v>43</v>
      </c>
      <c r="Q239" s="40">
        <f t="shared" si="242"/>
        <v>706.94931491134821</v>
      </c>
      <c r="R239" s="40">
        <f t="shared" si="243"/>
        <v>-353.47465745567411</v>
      </c>
      <c r="S239" s="44">
        <f t="shared" si="244"/>
        <v>15199.410270593986</v>
      </c>
      <c r="T239" s="35">
        <f t="shared" si="245"/>
        <v>43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383.56307560766936</v>
      </c>
      <c r="V239" s="57">
        <v>0</v>
      </c>
      <c r="W239" s="57">
        <v>3</v>
      </c>
      <c r="X239" s="61">
        <f t="shared" si="236"/>
        <v>40</v>
      </c>
      <c r="Y239" s="40">
        <f t="shared" si="246"/>
        <v>0</v>
      </c>
      <c r="Z239" s="40">
        <f t="shared" si="247"/>
        <v>-1150.6892268230081</v>
      </c>
      <c r="AA239" s="44">
        <f t="shared" si="248"/>
        <v>15342.523024306774</v>
      </c>
      <c r="AB239" s="35">
        <f t="shared" si="249"/>
        <v>40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415.82380239805315</v>
      </c>
      <c r="AD239" s="57">
        <v>0</v>
      </c>
      <c r="AE239" s="57">
        <v>7</v>
      </c>
      <c r="AF239" s="61">
        <f t="shared" si="237"/>
        <v>33</v>
      </c>
      <c r="AG239" s="40">
        <f t="shared" si="250"/>
        <v>0</v>
      </c>
      <c r="AH239" s="40">
        <f t="shared" si="251"/>
        <v>-2910.7666167863722</v>
      </c>
      <c r="AI239" s="44">
        <f t="shared" si="252"/>
        <v>13722.185479135755</v>
      </c>
      <c r="AJ239" s="35">
        <f t="shared" si="238"/>
        <v>33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449.9547533929906</v>
      </c>
      <c r="AL239" s="57">
        <v>0</v>
      </c>
      <c r="AM239" s="57">
        <v>3</v>
      </c>
      <c r="AN239" s="61">
        <f t="shared" si="239"/>
        <v>30</v>
      </c>
      <c r="AO239" s="40">
        <f t="shared" si="253"/>
        <v>0</v>
      </c>
      <c r="AP239" s="40">
        <f t="shared" si="254"/>
        <v>-1349.8642601789718</v>
      </c>
      <c r="AQ239" s="44">
        <f t="shared" si="255"/>
        <v>13498.642601789717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2</v>
      </c>
      <c r="G240" s="35">
        <f>SUMIFS(WORKING!$AC$3:$AC$6802,WORKING!$A$3:$A$6802,Results!$D$3,WORKING!$B$3:$B$6802,Results!A240,WORKING!$C$3:$C$6802,Results!C240)/1000</f>
        <v>833.22273999999993</v>
      </c>
      <c r="H240" s="35">
        <f t="shared" si="240"/>
        <v>416.61136999999997</v>
      </c>
      <c r="I240" s="187">
        <v>1</v>
      </c>
      <c r="J240" s="212">
        <v>416</v>
      </c>
      <c r="K240" s="217">
        <f t="shared" si="241"/>
        <v>416</v>
      </c>
      <c r="L240" s="34">
        <f t="shared" si="234"/>
        <v>1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453.05799195745522</v>
      </c>
      <c r="N240" s="57">
        <v>0</v>
      </c>
      <c r="O240" s="57">
        <v>1</v>
      </c>
      <c r="P240" s="61">
        <f t="shared" si="235"/>
        <v>0</v>
      </c>
      <c r="Q240" s="40">
        <f t="shared" si="242"/>
        <v>0</v>
      </c>
      <c r="R240" s="40">
        <f t="shared" si="243"/>
        <v>-453.05799195745522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491.64862981051135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533.02782150378812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576.80869208924219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31</v>
      </c>
      <c r="G241" s="35">
        <f>SUMIFS(WORKING!$AC$3:$AC$6802,WORKING!$A$3:$A$6802,Results!$D$3,WORKING!$B$3:$B$6802,Results!A241,WORKING!$C$3:$C$6802,Results!C241)/1000</f>
        <v>15953.641539999999</v>
      </c>
      <c r="H241" s="35">
        <f t="shared" si="240"/>
        <v>514.63359806451604</v>
      </c>
      <c r="I241" s="187">
        <v>39</v>
      </c>
      <c r="J241" s="212">
        <v>20085</v>
      </c>
      <c r="K241" s="217">
        <f t="shared" si="241"/>
        <v>515</v>
      </c>
      <c r="L241" s="34">
        <f t="shared" si="234"/>
        <v>39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561.43250540645533</v>
      </c>
      <c r="N241" s="57">
        <v>1</v>
      </c>
      <c r="O241" s="57">
        <v>3</v>
      </c>
      <c r="P241" s="61">
        <f t="shared" si="235"/>
        <v>37</v>
      </c>
      <c r="Q241" s="40">
        <f t="shared" si="242"/>
        <v>561.43250540645533</v>
      </c>
      <c r="R241" s="40">
        <f t="shared" si="243"/>
        <v>-1684.2975162193661</v>
      </c>
      <c r="S241" s="44">
        <f t="shared" si="244"/>
        <v>20773.002700038847</v>
      </c>
      <c r="T241" s="35">
        <f t="shared" si="245"/>
        <v>37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609.42554627795084</v>
      </c>
      <c r="V241" s="57">
        <v>0</v>
      </c>
      <c r="W241" s="57">
        <v>3</v>
      </c>
      <c r="X241" s="61">
        <f t="shared" si="236"/>
        <v>34</v>
      </c>
      <c r="Y241" s="40">
        <f t="shared" si="246"/>
        <v>0</v>
      </c>
      <c r="Z241" s="40">
        <f t="shared" si="247"/>
        <v>-1828.2766388338525</v>
      </c>
      <c r="AA241" s="44">
        <f t="shared" si="248"/>
        <v>20720.468573450329</v>
      </c>
      <c r="AB241" s="35">
        <f t="shared" si="249"/>
        <v>34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660.9030895389468</v>
      </c>
      <c r="AD241" s="57">
        <v>0</v>
      </c>
      <c r="AE241" s="57">
        <v>5</v>
      </c>
      <c r="AF241" s="61">
        <f t="shared" si="237"/>
        <v>29</v>
      </c>
      <c r="AG241" s="40">
        <f t="shared" si="250"/>
        <v>0</v>
      </c>
      <c r="AH241" s="40">
        <f t="shared" si="251"/>
        <v>-3304.5154476947341</v>
      </c>
      <c r="AI241" s="44">
        <f t="shared" si="252"/>
        <v>19166.189596629458</v>
      </c>
      <c r="AJ241" s="35">
        <f t="shared" si="238"/>
        <v>29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715.38827605149902</v>
      </c>
      <c r="AL241" s="57">
        <v>0</v>
      </c>
      <c r="AM241" s="57">
        <v>3</v>
      </c>
      <c r="AN241" s="61">
        <f t="shared" si="239"/>
        <v>26</v>
      </c>
      <c r="AO241" s="40">
        <f t="shared" si="253"/>
        <v>0</v>
      </c>
      <c r="AP241" s="40">
        <f t="shared" si="254"/>
        <v>-2146.1648281544972</v>
      </c>
      <c r="AQ241" s="44">
        <f t="shared" si="255"/>
        <v>18600.095177338975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5</v>
      </c>
      <c r="G242" s="35">
        <f>SUMIFS(WORKING!$AC$3:$AC$6802,WORKING!$A$3:$A$6802,Results!$D$3,WORKING!$B$3:$B$6802,Results!A242,WORKING!$C$3:$C$6802,Results!C242)/1000</f>
        <v>3553.7820099999999</v>
      </c>
      <c r="H242" s="35">
        <f t="shared" si="240"/>
        <v>710.75640199999998</v>
      </c>
      <c r="I242" s="187">
        <v>16</v>
      </c>
      <c r="J242" s="212">
        <v>11376</v>
      </c>
      <c r="K242" s="217">
        <f t="shared" si="241"/>
        <v>711</v>
      </c>
      <c r="L242" s="34">
        <f t="shared" si="234"/>
        <v>16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776.19256690652117</v>
      </c>
      <c r="N242" s="57">
        <v>0</v>
      </c>
      <c r="O242" s="57">
        <v>2</v>
      </c>
      <c r="P242" s="61">
        <f t="shared" si="235"/>
        <v>14</v>
      </c>
      <c r="Q242" s="40">
        <f t="shared" si="242"/>
        <v>0</v>
      </c>
      <c r="R242" s="40">
        <f t="shared" si="243"/>
        <v>-1552.3851338130423</v>
      </c>
      <c r="S242" s="44">
        <f t="shared" si="244"/>
        <v>10866.695936691296</v>
      </c>
      <c r="T242" s="35">
        <f t="shared" si="245"/>
        <v>14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842.63765886232761</v>
      </c>
      <c r="V242" s="57">
        <v>0</v>
      </c>
      <c r="W242" s="57">
        <v>0</v>
      </c>
      <c r="X242" s="61">
        <f t="shared" si="236"/>
        <v>14</v>
      </c>
      <c r="Y242" s="40">
        <f t="shared" si="246"/>
        <v>0</v>
      </c>
      <c r="Z242" s="40">
        <f t="shared" si="247"/>
        <v>0</v>
      </c>
      <c r="AA242" s="44">
        <f t="shared" si="248"/>
        <v>11796.927224072586</v>
      </c>
      <c r="AB242" s="35">
        <f t="shared" si="249"/>
        <v>14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913.9157823100594</v>
      </c>
      <c r="AD242" s="57">
        <v>0</v>
      </c>
      <c r="AE242" s="57">
        <v>1</v>
      </c>
      <c r="AF242" s="61">
        <f t="shared" si="237"/>
        <v>13</v>
      </c>
      <c r="AG242" s="40">
        <f t="shared" si="250"/>
        <v>0</v>
      </c>
      <c r="AH242" s="40">
        <f t="shared" si="251"/>
        <v>-913.9157823100594</v>
      </c>
      <c r="AI242" s="44">
        <f t="shared" si="252"/>
        <v>11880.905170030772</v>
      </c>
      <c r="AJ242" s="35">
        <f t="shared" si="238"/>
        <v>13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989.36878485082696</v>
      </c>
      <c r="AL242" s="57">
        <v>0</v>
      </c>
      <c r="AM242" s="57">
        <v>3</v>
      </c>
      <c r="AN242" s="61">
        <f t="shared" si="239"/>
        <v>10</v>
      </c>
      <c r="AO242" s="40">
        <f t="shared" si="253"/>
        <v>0</v>
      </c>
      <c r="AP242" s="40">
        <f t="shared" si="254"/>
        <v>-2968.1063545524808</v>
      </c>
      <c r="AQ242" s="44">
        <f t="shared" si="255"/>
        <v>9893.6878485082689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37</v>
      </c>
      <c r="G243" s="35">
        <f>SUMIFS(WORKING!$AC$3:$AC$6802,WORKING!$A$3:$A$6802,Results!$D$3,WORKING!$B$3:$B$6802,Results!A243,WORKING!$C$3:$C$6802,Results!C243)/1000</f>
        <v>28464.036769999995</v>
      </c>
      <c r="H243" s="35">
        <f t="shared" si="240"/>
        <v>769.29829108108095</v>
      </c>
      <c r="I243" s="187">
        <v>34</v>
      </c>
      <c r="J243" s="212">
        <v>53334</v>
      </c>
      <c r="K243" s="217">
        <f t="shared" si="241"/>
        <v>1568.6470588235295</v>
      </c>
      <c r="L243" s="34">
        <f t="shared" si="234"/>
        <v>34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1712.6896771447055</v>
      </c>
      <c r="N243" s="57">
        <v>4</v>
      </c>
      <c r="O243" s="57">
        <v>0</v>
      </c>
      <c r="P243" s="61">
        <f t="shared" si="235"/>
        <v>38</v>
      </c>
      <c r="Q243" s="40">
        <f t="shared" si="242"/>
        <v>6850.7587085788218</v>
      </c>
      <c r="R243" s="40">
        <f t="shared" si="243"/>
        <v>0</v>
      </c>
      <c r="S243" s="44">
        <f t="shared" si="244"/>
        <v>65082.207731498806</v>
      </c>
      <c r="T243" s="35">
        <f t="shared" si="245"/>
        <v>38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1859.5318744726981</v>
      </c>
      <c r="V243" s="57">
        <v>0</v>
      </c>
      <c r="W243" s="57">
        <v>4</v>
      </c>
      <c r="X243" s="61">
        <f t="shared" si="236"/>
        <v>34</v>
      </c>
      <c r="Y243" s="40">
        <f t="shared" si="246"/>
        <v>0</v>
      </c>
      <c r="Z243" s="40">
        <f t="shared" si="247"/>
        <v>-7438.1274978907923</v>
      </c>
      <c r="AA243" s="44">
        <f t="shared" si="248"/>
        <v>63224.083732071733</v>
      </c>
      <c r="AB243" s="35">
        <f t="shared" si="249"/>
        <v>34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2017.0771124213732</v>
      </c>
      <c r="AD243" s="57">
        <v>0</v>
      </c>
      <c r="AE243" s="57">
        <v>3</v>
      </c>
      <c r="AF243" s="61">
        <f t="shared" si="237"/>
        <v>31</v>
      </c>
      <c r="AG243" s="40">
        <f t="shared" si="250"/>
        <v>0</v>
      </c>
      <c r="AH243" s="40">
        <f t="shared" si="251"/>
        <v>-6051.2313372641192</v>
      </c>
      <c r="AI243" s="44">
        <f t="shared" si="252"/>
        <v>62529.390485062569</v>
      </c>
      <c r="AJ243" s="35">
        <f t="shared" si="238"/>
        <v>31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2183.8765762772964</v>
      </c>
      <c r="AL243" s="57">
        <v>0</v>
      </c>
      <c r="AM243" s="57">
        <v>3</v>
      </c>
      <c r="AN243" s="61">
        <f t="shared" si="239"/>
        <v>28</v>
      </c>
      <c r="AO243" s="40">
        <f t="shared" si="253"/>
        <v>0</v>
      </c>
      <c r="AP243" s="40">
        <f t="shared" si="254"/>
        <v>-6551.6297288318892</v>
      </c>
      <c r="AQ243" s="44">
        <f t="shared" si="255"/>
        <v>61148.544135764299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30</v>
      </c>
      <c r="G244" s="35">
        <f>SUMIFS(WORKING!$AC$3:$AC$6802,WORKING!$A$3:$A$6802,Results!$D$3,WORKING!$B$3:$B$6802,Results!A244,WORKING!$C$3:$C$6802,Results!C244)/1000</f>
        <v>26373.51225</v>
      </c>
      <c r="H244" s="35">
        <f t="shared" si="240"/>
        <v>879.117075</v>
      </c>
      <c r="I244" s="187">
        <v>16</v>
      </c>
      <c r="J244" s="212">
        <v>38692</v>
      </c>
      <c r="K244" s="217">
        <f t="shared" si="241"/>
        <v>2418.25</v>
      </c>
      <c r="L244" s="34">
        <f t="shared" si="234"/>
        <v>16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2534.8915077466177</v>
      </c>
      <c r="N244" s="57">
        <v>0</v>
      </c>
      <c r="O244" s="57">
        <v>3</v>
      </c>
      <c r="P244" s="61">
        <f t="shared" si="235"/>
        <v>13</v>
      </c>
      <c r="Q244" s="40">
        <f t="shared" si="242"/>
        <v>0</v>
      </c>
      <c r="R244" s="40">
        <f t="shared" si="243"/>
        <v>-7604.6745232398534</v>
      </c>
      <c r="S244" s="44">
        <f t="shared" si="244"/>
        <v>32953.589600706029</v>
      </c>
      <c r="T244" s="35">
        <f t="shared" si="245"/>
        <v>13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2726.6104835912365</v>
      </c>
      <c r="V244" s="57">
        <v>0</v>
      </c>
      <c r="W244" s="57">
        <v>3</v>
      </c>
      <c r="X244" s="61">
        <f t="shared" si="236"/>
        <v>10</v>
      </c>
      <c r="Y244" s="40">
        <f t="shared" si="246"/>
        <v>0</v>
      </c>
      <c r="Z244" s="40">
        <f t="shared" si="247"/>
        <v>-8179.8314507737095</v>
      </c>
      <c r="AA244" s="44">
        <f t="shared" si="248"/>
        <v>27266.104835912367</v>
      </c>
      <c r="AB244" s="35">
        <f t="shared" si="249"/>
        <v>10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2930.0627333218649</v>
      </c>
      <c r="AD244" s="57">
        <v>0</v>
      </c>
      <c r="AE244" s="57">
        <v>3</v>
      </c>
      <c r="AF244" s="61">
        <f t="shared" si="237"/>
        <v>7</v>
      </c>
      <c r="AG244" s="40">
        <f t="shared" si="250"/>
        <v>0</v>
      </c>
      <c r="AH244" s="40">
        <f t="shared" si="251"/>
        <v>-8790.1881999655943</v>
      </c>
      <c r="AI244" s="44">
        <f t="shared" si="252"/>
        <v>20510.439133253054</v>
      </c>
      <c r="AJ244" s="35">
        <f t="shared" si="238"/>
        <v>7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3142.7494900615461</v>
      </c>
      <c r="AL244" s="57">
        <v>0</v>
      </c>
      <c r="AM244" s="57">
        <v>2</v>
      </c>
      <c r="AN244" s="61">
        <f t="shared" si="239"/>
        <v>5</v>
      </c>
      <c r="AO244" s="40">
        <f t="shared" si="253"/>
        <v>0</v>
      </c>
      <c r="AP244" s="40">
        <f t="shared" si="254"/>
        <v>-6285.4989801230922</v>
      </c>
      <c r="AQ244" s="44">
        <f t="shared" si="255"/>
        <v>15713.74745030773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3</v>
      </c>
      <c r="G245" s="35">
        <f>SUMIFS(WORKING!$AC$3:$AC$6802,WORKING!$A$3:$A$6802,Results!$D$3,WORKING!$B$3:$B$6802,Results!A245,WORKING!$C$3:$C$6802,Results!C245)/1000</f>
        <v>5258.6340299999993</v>
      </c>
      <c r="H245" s="35">
        <f t="shared" si="240"/>
        <v>1752.8780099999997</v>
      </c>
      <c r="I245" s="187">
        <v>4</v>
      </c>
      <c r="J245" s="212">
        <v>3535</v>
      </c>
      <c r="K245" s="217">
        <f t="shared" si="241"/>
        <v>883.75</v>
      </c>
      <c r="L245" s="34">
        <f t="shared" si="234"/>
        <v>4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926.4355499709302</v>
      </c>
      <c r="N245" s="57">
        <v>0</v>
      </c>
      <c r="O245" s="57">
        <v>1</v>
      </c>
      <c r="P245" s="61">
        <f t="shared" si="235"/>
        <v>3</v>
      </c>
      <c r="Q245" s="40">
        <f t="shared" si="242"/>
        <v>0</v>
      </c>
      <c r="R245" s="40">
        <f t="shared" si="243"/>
        <v>-926.4355499709302</v>
      </c>
      <c r="S245" s="44">
        <f t="shared" si="244"/>
        <v>2779.3066499127908</v>
      </c>
      <c r="T245" s="35">
        <f t="shared" si="245"/>
        <v>3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996.56708856114437</v>
      </c>
      <c r="V245" s="57">
        <v>0</v>
      </c>
      <c r="W245" s="57">
        <v>0</v>
      </c>
      <c r="X245" s="61">
        <f t="shared" si="236"/>
        <v>3</v>
      </c>
      <c r="Y245" s="40">
        <f t="shared" si="246"/>
        <v>0</v>
      </c>
      <c r="Z245" s="40">
        <f t="shared" si="247"/>
        <v>0</v>
      </c>
      <c r="AA245" s="44">
        <f t="shared" si="248"/>
        <v>2989.7012656834331</v>
      </c>
      <c r="AB245" s="35">
        <f t="shared" si="249"/>
        <v>3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1070.9962845030461</v>
      </c>
      <c r="AD245" s="57">
        <v>0</v>
      </c>
      <c r="AE245" s="57">
        <v>0</v>
      </c>
      <c r="AF245" s="61">
        <f t="shared" si="237"/>
        <v>3</v>
      </c>
      <c r="AG245" s="40">
        <f t="shared" si="250"/>
        <v>0</v>
      </c>
      <c r="AH245" s="40">
        <f t="shared" si="251"/>
        <v>0</v>
      </c>
      <c r="AI245" s="44">
        <f t="shared" si="252"/>
        <v>3212.9888535091386</v>
      </c>
      <c r="AJ245" s="35">
        <f t="shared" si="238"/>
        <v>3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1148.8105493710391</v>
      </c>
      <c r="AL245" s="57">
        <v>0</v>
      </c>
      <c r="AM245" s="57">
        <v>0</v>
      </c>
      <c r="AN245" s="61">
        <f t="shared" si="239"/>
        <v>3</v>
      </c>
      <c r="AO245" s="40">
        <f t="shared" si="253"/>
        <v>0</v>
      </c>
      <c r="AP245" s="40">
        <f t="shared" si="254"/>
        <v>0</v>
      </c>
      <c r="AQ245" s="44">
        <f t="shared" si="255"/>
        <v>3446.4316481131173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2</v>
      </c>
      <c r="G246" s="35">
        <f>SUMIFS(WORKING!$AC$3:$AC$6802,WORKING!$A$3:$A$6802,Results!$D$3,WORKING!$B$3:$B$6802,Results!A246,WORKING!$C$3:$C$6802,Results!C246)/1000</f>
        <v>1684.2195800000004</v>
      </c>
      <c r="H246" s="35">
        <f t="shared" si="240"/>
        <v>842.1097900000002</v>
      </c>
      <c r="I246" s="187">
        <v>1</v>
      </c>
      <c r="J246" s="212">
        <v>1306</v>
      </c>
      <c r="K246" s="217">
        <f t="shared" si="241"/>
        <v>1306</v>
      </c>
      <c r="L246" s="34">
        <f t="shared" si="234"/>
        <v>1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1369.2018712368022</v>
      </c>
      <c r="N246" s="57">
        <v>0</v>
      </c>
      <c r="O246" s="57">
        <v>0</v>
      </c>
      <c r="P246" s="61">
        <f t="shared" si="235"/>
        <v>1</v>
      </c>
      <c r="Q246" s="40">
        <f t="shared" si="242"/>
        <v>0</v>
      </c>
      <c r="R246" s="40">
        <f t="shared" si="243"/>
        <v>0</v>
      </c>
      <c r="S246" s="44">
        <f t="shared" si="244"/>
        <v>1369.2018712368022</v>
      </c>
      <c r="T246" s="35">
        <f t="shared" si="245"/>
        <v>1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1472.9816440690463</v>
      </c>
      <c r="V246" s="57">
        <v>0</v>
      </c>
      <c r="W246" s="57">
        <v>0</v>
      </c>
      <c r="X246" s="61">
        <f t="shared" si="236"/>
        <v>1</v>
      </c>
      <c r="Y246" s="40">
        <f t="shared" si="246"/>
        <v>0</v>
      </c>
      <c r="Z246" s="40">
        <f t="shared" si="247"/>
        <v>0</v>
      </c>
      <c r="AA246" s="44">
        <f t="shared" si="248"/>
        <v>1472.9816440690463</v>
      </c>
      <c r="AB246" s="35">
        <f t="shared" si="249"/>
        <v>1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1583.132557853359</v>
      </c>
      <c r="AD246" s="57">
        <v>0</v>
      </c>
      <c r="AE246" s="57">
        <v>0</v>
      </c>
      <c r="AF246" s="61">
        <f t="shared" si="237"/>
        <v>1</v>
      </c>
      <c r="AG246" s="40">
        <f t="shared" si="250"/>
        <v>0</v>
      </c>
      <c r="AH246" s="40">
        <f t="shared" si="251"/>
        <v>0</v>
      </c>
      <c r="AI246" s="44">
        <f t="shared" si="252"/>
        <v>1583.132557853359</v>
      </c>
      <c r="AJ246" s="35">
        <f t="shared" si="238"/>
        <v>1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1698.3072097687204</v>
      </c>
      <c r="AL246" s="57">
        <v>0</v>
      </c>
      <c r="AM246" s="57">
        <v>0</v>
      </c>
      <c r="AN246" s="61">
        <f t="shared" si="239"/>
        <v>1</v>
      </c>
      <c r="AO246" s="40">
        <f t="shared" si="253"/>
        <v>0</v>
      </c>
      <c r="AP246" s="40">
        <f t="shared" si="254"/>
        <v>0</v>
      </c>
      <c r="AQ246" s="44">
        <f t="shared" si="255"/>
        <v>1698.3072097687204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>
        <v>0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757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>
        <v>66</v>
      </c>
      <c r="J248" s="212">
        <v>54676</v>
      </c>
      <c r="K248" s="217">
        <f t="shared" si="241"/>
        <v>828.42424242424238</v>
      </c>
      <c r="L248" s="34">
        <f t="shared" si="234"/>
        <v>66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855.76224242424234</v>
      </c>
      <c r="N248" s="57">
        <v>0</v>
      </c>
      <c r="O248" s="57">
        <v>0</v>
      </c>
      <c r="P248" s="61">
        <f t="shared" si="235"/>
        <v>66</v>
      </c>
      <c r="Q248" s="40">
        <f t="shared" si="242"/>
        <v>0</v>
      </c>
      <c r="R248" s="40">
        <f t="shared" si="243"/>
        <v>0</v>
      </c>
      <c r="S248" s="44">
        <f t="shared" si="244"/>
        <v>56480.307999999997</v>
      </c>
      <c r="T248" s="35">
        <f t="shared" si="245"/>
        <v>66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907.10797696969689</v>
      </c>
      <c r="V248" s="57">
        <v>0</v>
      </c>
      <c r="W248" s="57">
        <v>0</v>
      </c>
      <c r="X248" s="61">
        <f t="shared" si="236"/>
        <v>66</v>
      </c>
      <c r="Y248" s="40">
        <f t="shared" si="246"/>
        <v>0</v>
      </c>
      <c r="Z248" s="40">
        <f t="shared" si="247"/>
        <v>0</v>
      </c>
      <c r="AA248" s="44">
        <f t="shared" si="248"/>
        <v>59869.126479999992</v>
      </c>
      <c r="AB248" s="35">
        <f t="shared" si="249"/>
        <v>66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960.62734761090894</v>
      </c>
      <c r="AD248" s="57">
        <v>0</v>
      </c>
      <c r="AE248" s="57">
        <v>0</v>
      </c>
      <c r="AF248" s="61">
        <f t="shared" si="237"/>
        <v>66</v>
      </c>
      <c r="AG248" s="40">
        <f t="shared" si="250"/>
        <v>0</v>
      </c>
      <c r="AH248" s="40">
        <f t="shared" si="251"/>
        <v>0</v>
      </c>
      <c r="AI248" s="44">
        <f t="shared" si="252"/>
        <v>63401.40494231999</v>
      </c>
      <c r="AJ248" s="35">
        <f t="shared" si="238"/>
        <v>66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1015.3831064247307</v>
      </c>
      <c r="AL248" s="57">
        <v>0</v>
      </c>
      <c r="AM248" s="57">
        <v>0</v>
      </c>
      <c r="AN248" s="61">
        <f t="shared" si="239"/>
        <v>66</v>
      </c>
      <c r="AO248" s="40">
        <f t="shared" si="253"/>
        <v>0</v>
      </c>
      <c r="AP248" s="40">
        <f t="shared" si="254"/>
        <v>0</v>
      </c>
      <c r="AQ248" s="44">
        <f t="shared" si="255"/>
        <v>67015.28502403223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179</v>
      </c>
      <c r="G252" s="41">
        <f>SUM(G232:G251)</f>
        <v>99529.494070000001</v>
      </c>
      <c r="H252" s="41">
        <f>IFERROR(G252/F252,0)</f>
        <v>556.03069312849163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245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200503.79398000002</v>
      </c>
      <c r="K252" s="41">
        <f>IFERROR(J252/I252,"")</f>
        <v>818.38283257142859</v>
      </c>
      <c r="L252" s="41">
        <f>SUM(L232:L251)</f>
        <v>245</v>
      </c>
      <c r="M252" s="41">
        <f>IFERROR(S252/P252,0)</f>
        <v>884.72981323094655</v>
      </c>
      <c r="N252" s="41">
        <f t="shared" ref="N252:T252" si="256">SUM(N232:N251)</f>
        <v>10</v>
      </c>
      <c r="O252" s="41">
        <f t="shared" si="256"/>
        <v>18</v>
      </c>
      <c r="P252" s="41">
        <f t="shared" si="256"/>
        <v>237</v>
      </c>
      <c r="Q252" s="41">
        <f t="shared" si="256"/>
        <v>9143.8268673813982</v>
      </c>
      <c r="R252" s="41">
        <f t="shared" si="256"/>
        <v>-13178.728497362205</v>
      </c>
      <c r="S252" s="45">
        <f t="shared" si="256"/>
        <v>209680.96573573432</v>
      </c>
      <c r="T252" s="41">
        <f t="shared" si="256"/>
        <v>237</v>
      </c>
      <c r="U252" s="41">
        <f>IFERROR(AA252/X252,0)</f>
        <v>938.36189998469172</v>
      </c>
      <c r="V252" s="41">
        <f t="shared" ref="V252:AB252" si="257">SUM(V232:V251)</f>
        <v>0</v>
      </c>
      <c r="W252" s="41">
        <f t="shared" si="257"/>
        <v>17</v>
      </c>
      <c r="X252" s="41">
        <f t="shared" si="257"/>
        <v>220</v>
      </c>
      <c r="Y252" s="41">
        <f t="shared" si="257"/>
        <v>0</v>
      </c>
      <c r="Z252" s="41">
        <f t="shared" si="257"/>
        <v>-19371.706581258339</v>
      </c>
      <c r="AA252" s="45">
        <f t="shared" si="257"/>
        <v>206439.61799663218</v>
      </c>
      <c r="AB252" s="41">
        <f t="shared" si="257"/>
        <v>220</v>
      </c>
      <c r="AC252" s="41">
        <f>IFERROR(AI252/AF252,0)</f>
        <v>1012.893449027452</v>
      </c>
      <c r="AD252" s="41">
        <f t="shared" ref="AD252:AJ252" si="258">SUM(AD232:AD251)</f>
        <v>0</v>
      </c>
      <c r="AE252" s="41">
        <f t="shared" si="258"/>
        <v>23</v>
      </c>
      <c r="AF252" s="41">
        <f t="shared" si="258"/>
        <v>197</v>
      </c>
      <c r="AG252" s="41">
        <f t="shared" si="258"/>
        <v>0</v>
      </c>
      <c r="AH252" s="41">
        <f t="shared" si="258"/>
        <v>-22510.657182990552</v>
      </c>
      <c r="AI252" s="45">
        <f t="shared" si="258"/>
        <v>199540.00945840805</v>
      </c>
      <c r="AJ252" s="41">
        <f t="shared" si="258"/>
        <v>197</v>
      </c>
      <c r="AK252" s="41">
        <f>IFERROR(AQ252/AN252,0)</f>
        <v>1073.4414505072839</v>
      </c>
      <c r="AL252" s="41">
        <f t="shared" ref="AL252:AQ252" si="259">SUM(AL232:AL251)</f>
        <v>0</v>
      </c>
      <c r="AM252" s="41">
        <f t="shared" si="259"/>
        <v>16</v>
      </c>
      <c r="AN252" s="41">
        <f t="shared" si="259"/>
        <v>181</v>
      </c>
      <c r="AO252" s="41">
        <f t="shared" si="259"/>
        <v>0</v>
      </c>
      <c r="AP252" s="41">
        <f t="shared" si="259"/>
        <v>-19845.960667400785</v>
      </c>
      <c r="AQ252" s="45">
        <f t="shared" si="259"/>
        <v>194292.90254181839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112103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107917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91077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97998.851999999999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-97577.965735734324</v>
      </c>
      <c r="T254" s="39"/>
      <c r="U254" s="39"/>
      <c r="V254" s="53"/>
      <c r="W254" s="53"/>
      <c r="X254" s="110"/>
      <c r="Y254" s="39"/>
      <c r="Z254" s="39"/>
      <c r="AA254" s="54">
        <f>AA253-AA252</f>
        <v>-98522.61799663218</v>
      </c>
      <c r="AB254" s="39"/>
      <c r="AC254" s="53"/>
      <c r="AD254" s="53"/>
      <c r="AE254" s="110"/>
      <c r="AF254" s="39"/>
      <c r="AG254" s="39"/>
      <c r="AH254" s="39"/>
      <c r="AI254" s="54">
        <f>AI253-AI252</f>
        <v>-108463.00945840805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-96294.050541818389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Investment South Africa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>
        <v>2</v>
      </c>
      <c r="J262" s="212">
        <v>96</v>
      </c>
      <c r="K262" s="217">
        <f t="shared" si="267"/>
        <v>48</v>
      </c>
      <c r="L262" s="34">
        <f t="shared" si="260"/>
        <v>2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51.543728856998598</v>
      </c>
      <c r="N262" s="57">
        <v>0</v>
      </c>
      <c r="O262" s="57">
        <v>0</v>
      </c>
      <c r="P262" s="61">
        <f t="shared" si="261"/>
        <v>2</v>
      </c>
      <c r="Q262" s="40">
        <f t="shared" si="268"/>
        <v>0</v>
      </c>
      <c r="R262" s="40">
        <f t="shared" si="269"/>
        <v>0</v>
      </c>
      <c r="S262" s="44">
        <f t="shared" si="270"/>
        <v>103.0874577139972</v>
      </c>
      <c r="T262" s="35">
        <f t="shared" si="271"/>
        <v>2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55.153496964004383</v>
      </c>
      <c r="V262" s="57">
        <v>0</v>
      </c>
      <c r="W262" s="57">
        <v>0</v>
      </c>
      <c r="X262" s="61">
        <f t="shared" si="262"/>
        <v>2</v>
      </c>
      <c r="Y262" s="40">
        <f t="shared" si="272"/>
        <v>0</v>
      </c>
      <c r="Z262" s="40">
        <f t="shared" si="273"/>
        <v>0</v>
      </c>
      <c r="AA262" s="44">
        <f t="shared" si="274"/>
        <v>110.30699392800877</v>
      </c>
      <c r="AB262" s="35">
        <f t="shared" si="275"/>
        <v>2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58.960914894165043</v>
      </c>
      <c r="AD262" s="57">
        <v>0</v>
      </c>
      <c r="AE262" s="57">
        <v>0</v>
      </c>
      <c r="AF262" s="61">
        <f t="shared" si="263"/>
        <v>2</v>
      </c>
      <c r="AG262" s="40">
        <f t="shared" si="276"/>
        <v>0</v>
      </c>
      <c r="AH262" s="40">
        <f t="shared" si="277"/>
        <v>0</v>
      </c>
      <c r="AI262" s="44">
        <f t="shared" si="278"/>
        <v>117.92182978833009</v>
      </c>
      <c r="AJ262" s="35">
        <f t="shared" si="264"/>
        <v>2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62.913248930350761</v>
      </c>
      <c r="AL262" s="57">
        <v>0</v>
      </c>
      <c r="AM262" s="57">
        <v>0</v>
      </c>
      <c r="AN262" s="61">
        <f t="shared" si="265"/>
        <v>2</v>
      </c>
      <c r="AO262" s="40">
        <f t="shared" si="279"/>
        <v>0</v>
      </c>
      <c r="AP262" s="40">
        <f t="shared" si="280"/>
        <v>0</v>
      </c>
      <c r="AQ262" s="44">
        <f t="shared" si="281"/>
        <v>125.82649786070152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>
        <v>0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>
        <v>1</v>
      </c>
      <c r="J264" s="212">
        <v>184</v>
      </c>
      <c r="K264" s="217">
        <f t="shared" si="267"/>
        <v>184</v>
      </c>
      <c r="L264" s="34">
        <f t="shared" si="260"/>
        <v>1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197.58429395182796</v>
      </c>
      <c r="N264" s="57">
        <v>0</v>
      </c>
      <c r="O264" s="57">
        <v>0</v>
      </c>
      <c r="P264" s="61">
        <f t="shared" si="261"/>
        <v>1</v>
      </c>
      <c r="Q264" s="40">
        <f t="shared" si="268"/>
        <v>0</v>
      </c>
      <c r="R264" s="40">
        <f t="shared" si="269"/>
        <v>0</v>
      </c>
      <c r="S264" s="44">
        <f t="shared" si="270"/>
        <v>197.58429395182796</v>
      </c>
      <c r="T264" s="35">
        <f t="shared" si="271"/>
        <v>1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211.42173836201681</v>
      </c>
      <c r="V264" s="57">
        <v>0</v>
      </c>
      <c r="W264" s="57">
        <v>0</v>
      </c>
      <c r="X264" s="61">
        <f t="shared" si="262"/>
        <v>1</v>
      </c>
      <c r="Y264" s="40">
        <f t="shared" si="272"/>
        <v>0</v>
      </c>
      <c r="Z264" s="40">
        <f t="shared" si="273"/>
        <v>0</v>
      </c>
      <c r="AA264" s="44">
        <f t="shared" si="274"/>
        <v>211.42173836201681</v>
      </c>
      <c r="AB264" s="35">
        <f t="shared" si="275"/>
        <v>1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226.01684042763267</v>
      </c>
      <c r="AD264" s="57">
        <v>0</v>
      </c>
      <c r="AE264" s="57">
        <v>0</v>
      </c>
      <c r="AF264" s="61">
        <f t="shared" si="263"/>
        <v>1</v>
      </c>
      <c r="AG264" s="40">
        <f t="shared" si="276"/>
        <v>0</v>
      </c>
      <c r="AH264" s="40">
        <f t="shared" si="277"/>
        <v>0</v>
      </c>
      <c r="AI264" s="44">
        <f t="shared" si="278"/>
        <v>226.01684042763267</v>
      </c>
      <c r="AJ264" s="35">
        <f t="shared" si="264"/>
        <v>1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241.16745423301126</v>
      </c>
      <c r="AL264" s="57">
        <v>0</v>
      </c>
      <c r="AM264" s="57">
        <v>0</v>
      </c>
      <c r="AN264" s="61">
        <f t="shared" si="265"/>
        <v>1</v>
      </c>
      <c r="AO264" s="40">
        <f t="shared" si="279"/>
        <v>0</v>
      </c>
      <c r="AP264" s="40">
        <f t="shared" si="280"/>
        <v>0</v>
      </c>
      <c r="AQ264" s="44">
        <f t="shared" si="281"/>
        <v>241.16745423301126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>
        <v>0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>
        <v>0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>
        <v>13</v>
      </c>
      <c r="J267" s="212">
        <v>325</v>
      </c>
      <c r="K267" s="217">
        <f t="shared" si="267"/>
        <v>25</v>
      </c>
      <c r="L267" s="34">
        <f t="shared" si="260"/>
        <v>13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26.845692113020103</v>
      </c>
      <c r="N267" s="57">
        <v>0</v>
      </c>
      <c r="O267" s="57">
        <v>0</v>
      </c>
      <c r="P267" s="61">
        <f t="shared" si="261"/>
        <v>13</v>
      </c>
      <c r="Q267" s="40">
        <f t="shared" si="268"/>
        <v>0</v>
      </c>
      <c r="R267" s="40">
        <f t="shared" si="269"/>
        <v>0</v>
      </c>
      <c r="S267" s="44">
        <f t="shared" si="270"/>
        <v>348.99399746926133</v>
      </c>
      <c r="T267" s="35">
        <f t="shared" si="271"/>
        <v>13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28.725779668752285</v>
      </c>
      <c r="V267" s="57">
        <v>0</v>
      </c>
      <c r="W267" s="57">
        <v>0</v>
      </c>
      <c r="X267" s="61">
        <f t="shared" si="262"/>
        <v>13</v>
      </c>
      <c r="Y267" s="40">
        <f t="shared" si="272"/>
        <v>0</v>
      </c>
      <c r="Z267" s="40">
        <f t="shared" si="273"/>
        <v>0</v>
      </c>
      <c r="AA267" s="44">
        <f t="shared" si="274"/>
        <v>373.43513569377973</v>
      </c>
      <c r="AB267" s="35">
        <f t="shared" si="275"/>
        <v>13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30.708809840710963</v>
      </c>
      <c r="AD267" s="57">
        <v>0</v>
      </c>
      <c r="AE267" s="57">
        <v>1</v>
      </c>
      <c r="AF267" s="61">
        <f t="shared" si="263"/>
        <v>12</v>
      </c>
      <c r="AG267" s="40">
        <f t="shared" si="276"/>
        <v>0</v>
      </c>
      <c r="AH267" s="40">
        <f t="shared" si="277"/>
        <v>-30.708809840710963</v>
      </c>
      <c r="AI267" s="44">
        <f t="shared" si="278"/>
        <v>368.50571808853158</v>
      </c>
      <c r="AJ267" s="35">
        <f t="shared" si="264"/>
        <v>12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32.767317151224354</v>
      </c>
      <c r="AL267" s="57">
        <v>0</v>
      </c>
      <c r="AM267" s="57">
        <v>1</v>
      </c>
      <c r="AN267" s="61">
        <f t="shared" si="265"/>
        <v>11</v>
      </c>
      <c r="AO267" s="40">
        <f t="shared" si="279"/>
        <v>0</v>
      </c>
      <c r="AP267" s="40">
        <f t="shared" si="280"/>
        <v>-32.767317151224354</v>
      </c>
      <c r="AQ267" s="44">
        <f t="shared" si="281"/>
        <v>360.44048866346787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>
        <v>0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>
        <v>12</v>
      </c>
      <c r="J269" s="212">
        <v>515</v>
      </c>
      <c r="K269" s="217">
        <f t="shared" si="267"/>
        <v>42.916666666666664</v>
      </c>
      <c r="L269" s="34">
        <f t="shared" si="260"/>
        <v>12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46.085104794017845</v>
      </c>
      <c r="N269" s="57">
        <v>0</v>
      </c>
      <c r="O269" s="57">
        <v>2</v>
      </c>
      <c r="P269" s="61">
        <f t="shared" si="261"/>
        <v>10</v>
      </c>
      <c r="Q269" s="40">
        <f t="shared" si="268"/>
        <v>0</v>
      </c>
      <c r="R269" s="40">
        <f t="shared" si="269"/>
        <v>-92.170209588035689</v>
      </c>
      <c r="S269" s="44">
        <f t="shared" si="270"/>
        <v>460.85104794017843</v>
      </c>
      <c r="T269" s="35">
        <f t="shared" si="271"/>
        <v>10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49.312588431358087</v>
      </c>
      <c r="V269" s="57">
        <v>0</v>
      </c>
      <c r="W269" s="57">
        <v>0</v>
      </c>
      <c r="X269" s="61">
        <f t="shared" si="262"/>
        <v>10</v>
      </c>
      <c r="Y269" s="40">
        <f t="shared" si="272"/>
        <v>0</v>
      </c>
      <c r="Z269" s="40">
        <f t="shared" si="273"/>
        <v>0</v>
      </c>
      <c r="AA269" s="44">
        <f t="shared" si="274"/>
        <v>493.12588431358085</v>
      </c>
      <c r="AB269" s="35">
        <f t="shared" si="275"/>
        <v>10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52.716790226553819</v>
      </c>
      <c r="AD269" s="57">
        <v>0</v>
      </c>
      <c r="AE269" s="57">
        <v>1</v>
      </c>
      <c r="AF269" s="61">
        <f t="shared" si="263"/>
        <v>9</v>
      </c>
      <c r="AG269" s="40">
        <f t="shared" si="276"/>
        <v>0</v>
      </c>
      <c r="AH269" s="40">
        <f t="shared" si="277"/>
        <v>-52.716790226553819</v>
      </c>
      <c r="AI269" s="44">
        <f t="shared" si="278"/>
        <v>474.45111203898438</v>
      </c>
      <c r="AJ269" s="35">
        <f t="shared" si="264"/>
        <v>9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56.250561109601811</v>
      </c>
      <c r="AL269" s="57">
        <v>0</v>
      </c>
      <c r="AM269" s="57">
        <v>0</v>
      </c>
      <c r="AN269" s="61">
        <f t="shared" si="265"/>
        <v>9</v>
      </c>
      <c r="AO269" s="40">
        <f t="shared" si="279"/>
        <v>0</v>
      </c>
      <c r="AP269" s="40">
        <f t="shared" si="280"/>
        <v>0</v>
      </c>
      <c r="AQ269" s="44">
        <f t="shared" si="281"/>
        <v>506.25504998641628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>
        <v>3</v>
      </c>
      <c r="J270" s="212">
        <v>711</v>
      </c>
      <c r="K270" s="217">
        <f t="shared" si="267"/>
        <v>237</v>
      </c>
      <c r="L270" s="34">
        <f t="shared" si="260"/>
        <v>3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255.01200000000003</v>
      </c>
      <c r="N270" s="57">
        <v>0</v>
      </c>
      <c r="O270" s="57">
        <v>0</v>
      </c>
      <c r="P270" s="61">
        <f t="shared" si="261"/>
        <v>3</v>
      </c>
      <c r="Q270" s="40">
        <f t="shared" si="268"/>
        <v>0</v>
      </c>
      <c r="R270" s="40">
        <f t="shared" si="269"/>
        <v>0</v>
      </c>
      <c r="S270" s="44">
        <f t="shared" si="270"/>
        <v>765.03600000000006</v>
      </c>
      <c r="T270" s="35">
        <f t="shared" si="271"/>
        <v>3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272.86284000000006</v>
      </c>
      <c r="V270" s="57">
        <v>0</v>
      </c>
      <c r="W270" s="57">
        <v>0</v>
      </c>
      <c r="X270" s="61">
        <f t="shared" si="262"/>
        <v>3</v>
      </c>
      <c r="Y270" s="40">
        <f t="shared" si="272"/>
        <v>0</v>
      </c>
      <c r="Z270" s="40">
        <f t="shared" si="273"/>
        <v>0</v>
      </c>
      <c r="AA270" s="44">
        <f t="shared" si="274"/>
        <v>818.58852000000024</v>
      </c>
      <c r="AB270" s="35">
        <f t="shared" si="275"/>
        <v>3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291.69037596000004</v>
      </c>
      <c r="AD270" s="57">
        <v>0</v>
      </c>
      <c r="AE270" s="57">
        <v>0</v>
      </c>
      <c r="AF270" s="61">
        <f t="shared" si="263"/>
        <v>3</v>
      </c>
      <c r="AG270" s="40">
        <f t="shared" si="276"/>
        <v>0</v>
      </c>
      <c r="AH270" s="40">
        <f t="shared" si="277"/>
        <v>0</v>
      </c>
      <c r="AI270" s="44">
        <f t="shared" si="278"/>
        <v>875.07112788000018</v>
      </c>
      <c r="AJ270" s="35">
        <f t="shared" si="264"/>
        <v>3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311.23363114932005</v>
      </c>
      <c r="AL270" s="57">
        <v>0</v>
      </c>
      <c r="AM270" s="57">
        <v>0</v>
      </c>
      <c r="AN270" s="61">
        <f t="shared" si="265"/>
        <v>3</v>
      </c>
      <c r="AO270" s="40">
        <f t="shared" si="279"/>
        <v>0</v>
      </c>
      <c r="AP270" s="40">
        <f t="shared" si="280"/>
        <v>0</v>
      </c>
      <c r="AQ270" s="44">
        <f t="shared" si="281"/>
        <v>933.7008934479602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>
        <v>11</v>
      </c>
      <c r="J271" s="212">
        <v>769</v>
      </c>
      <c r="K271" s="217">
        <f t="shared" si="267"/>
        <v>69.909090909090907</v>
      </c>
      <c r="L271" s="34">
        <f t="shared" si="260"/>
        <v>11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75.222181818181824</v>
      </c>
      <c r="N271" s="57">
        <v>0</v>
      </c>
      <c r="O271" s="57">
        <v>0</v>
      </c>
      <c r="P271" s="61">
        <f t="shared" si="261"/>
        <v>11</v>
      </c>
      <c r="Q271" s="40">
        <f t="shared" si="268"/>
        <v>0</v>
      </c>
      <c r="R271" s="40">
        <f t="shared" si="269"/>
        <v>0</v>
      </c>
      <c r="S271" s="44">
        <f t="shared" si="270"/>
        <v>827.44400000000007</v>
      </c>
      <c r="T271" s="35">
        <f t="shared" si="271"/>
        <v>11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80.487734545454558</v>
      </c>
      <c r="V271" s="57">
        <v>0</v>
      </c>
      <c r="W271" s="57">
        <v>2</v>
      </c>
      <c r="X271" s="61">
        <f t="shared" si="262"/>
        <v>9</v>
      </c>
      <c r="Y271" s="40">
        <f t="shared" si="272"/>
        <v>0</v>
      </c>
      <c r="Z271" s="40">
        <f t="shared" si="273"/>
        <v>-160.97546909090912</v>
      </c>
      <c r="AA271" s="44">
        <f t="shared" si="274"/>
        <v>724.38961090909106</v>
      </c>
      <c r="AB271" s="35">
        <f t="shared" si="275"/>
        <v>9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86.041388229090913</v>
      </c>
      <c r="AD271" s="57">
        <v>0</v>
      </c>
      <c r="AE271" s="57">
        <v>1</v>
      </c>
      <c r="AF271" s="61">
        <f t="shared" si="263"/>
        <v>8</v>
      </c>
      <c r="AG271" s="40">
        <f t="shared" si="276"/>
        <v>0</v>
      </c>
      <c r="AH271" s="40">
        <f t="shared" si="277"/>
        <v>-86.041388229090913</v>
      </c>
      <c r="AI271" s="44">
        <f t="shared" si="278"/>
        <v>688.3311058327273</v>
      </c>
      <c r="AJ271" s="35">
        <f t="shared" si="264"/>
        <v>8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91.806161240440005</v>
      </c>
      <c r="AL271" s="57">
        <v>0</v>
      </c>
      <c r="AM271" s="57">
        <v>1</v>
      </c>
      <c r="AN271" s="61">
        <f t="shared" si="265"/>
        <v>7</v>
      </c>
      <c r="AO271" s="40">
        <f t="shared" si="279"/>
        <v>0</v>
      </c>
      <c r="AP271" s="40">
        <f t="shared" si="280"/>
        <v>-91.806161240440005</v>
      </c>
      <c r="AQ271" s="44">
        <f t="shared" si="281"/>
        <v>642.64312868308002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>
        <v>5</v>
      </c>
      <c r="J272" s="212">
        <v>879</v>
      </c>
      <c r="K272" s="217">
        <f t="shared" si="267"/>
        <v>175.8</v>
      </c>
      <c r="L272" s="34">
        <f t="shared" si="260"/>
        <v>5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181.60139999999998</v>
      </c>
      <c r="N272" s="57">
        <v>0</v>
      </c>
      <c r="O272" s="57">
        <v>0</v>
      </c>
      <c r="P272" s="61">
        <f t="shared" si="261"/>
        <v>5</v>
      </c>
      <c r="Q272" s="40">
        <f t="shared" si="268"/>
        <v>0</v>
      </c>
      <c r="R272" s="40">
        <f t="shared" si="269"/>
        <v>0</v>
      </c>
      <c r="S272" s="44">
        <f t="shared" si="270"/>
        <v>908.00699999999995</v>
      </c>
      <c r="T272" s="35">
        <f t="shared" si="271"/>
        <v>5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192.49748399999999</v>
      </c>
      <c r="V272" s="57">
        <v>0</v>
      </c>
      <c r="W272" s="57">
        <v>0</v>
      </c>
      <c r="X272" s="61">
        <f t="shared" si="262"/>
        <v>5</v>
      </c>
      <c r="Y272" s="40">
        <f t="shared" si="272"/>
        <v>0</v>
      </c>
      <c r="Z272" s="40">
        <f t="shared" si="273"/>
        <v>0</v>
      </c>
      <c r="AA272" s="44">
        <f t="shared" si="274"/>
        <v>962.48741999999993</v>
      </c>
      <c r="AB272" s="35">
        <f t="shared" si="275"/>
        <v>5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203.85483555599998</v>
      </c>
      <c r="AD272" s="57">
        <v>0</v>
      </c>
      <c r="AE272" s="57">
        <v>0</v>
      </c>
      <c r="AF272" s="61">
        <f t="shared" si="263"/>
        <v>5</v>
      </c>
      <c r="AG272" s="40">
        <f t="shared" si="276"/>
        <v>0</v>
      </c>
      <c r="AH272" s="40">
        <f t="shared" si="277"/>
        <v>0</v>
      </c>
      <c r="AI272" s="44">
        <f t="shared" si="278"/>
        <v>1019.2741777799999</v>
      </c>
      <c r="AJ272" s="35">
        <f t="shared" si="264"/>
        <v>5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215.47456118269196</v>
      </c>
      <c r="AL272" s="57">
        <v>0</v>
      </c>
      <c r="AM272" s="57">
        <v>0</v>
      </c>
      <c r="AN272" s="61">
        <f t="shared" si="265"/>
        <v>5</v>
      </c>
      <c r="AO272" s="40">
        <f t="shared" si="279"/>
        <v>0</v>
      </c>
      <c r="AP272" s="40">
        <f t="shared" si="280"/>
        <v>0</v>
      </c>
      <c r="AQ272" s="44">
        <f t="shared" si="281"/>
        <v>1077.3728059134598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>
        <v>2</v>
      </c>
      <c r="J273" s="212">
        <v>1171</v>
      </c>
      <c r="K273" s="217">
        <f t="shared" si="267"/>
        <v>585.5</v>
      </c>
      <c r="L273" s="34">
        <f t="shared" si="260"/>
        <v>2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604.8214999999999</v>
      </c>
      <c r="N273" s="57">
        <v>0</v>
      </c>
      <c r="O273" s="57">
        <v>0</v>
      </c>
      <c r="P273" s="61">
        <f t="shared" si="261"/>
        <v>2</v>
      </c>
      <c r="Q273" s="40">
        <f t="shared" si="268"/>
        <v>0</v>
      </c>
      <c r="R273" s="40">
        <f t="shared" si="269"/>
        <v>0</v>
      </c>
      <c r="S273" s="44">
        <f t="shared" si="270"/>
        <v>1209.6429999999998</v>
      </c>
      <c r="T273" s="35">
        <f t="shared" si="271"/>
        <v>2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641.11078999999995</v>
      </c>
      <c r="V273" s="57">
        <v>0</v>
      </c>
      <c r="W273" s="57">
        <v>0</v>
      </c>
      <c r="X273" s="61">
        <f t="shared" si="262"/>
        <v>2</v>
      </c>
      <c r="Y273" s="40">
        <f t="shared" si="272"/>
        <v>0</v>
      </c>
      <c r="Z273" s="40">
        <f t="shared" si="273"/>
        <v>0</v>
      </c>
      <c r="AA273" s="44">
        <f t="shared" si="274"/>
        <v>1282.2215799999999</v>
      </c>
      <c r="AB273" s="35">
        <f t="shared" si="275"/>
        <v>2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678.93632660999992</v>
      </c>
      <c r="AD273" s="57">
        <v>0</v>
      </c>
      <c r="AE273" s="57">
        <v>0</v>
      </c>
      <c r="AF273" s="61">
        <f t="shared" si="263"/>
        <v>2</v>
      </c>
      <c r="AG273" s="40">
        <f t="shared" si="276"/>
        <v>0</v>
      </c>
      <c r="AH273" s="40">
        <f t="shared" si="277"/>
        <v>0</v>
      </c>
      <c r="AI273" s="44">
        <f t="shared" si="278"/>
        <v>1357.8726532199998</v>
      </c>
      <c r="AJ273" s="35">
        <f t="shared" si="264"/>
        <v>2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717.63569722676993</v>
      </c>
      <c r="AL273" s="57">
        <v>0</v>
      </c>
      <c r="AM273" s="57">
        <v>0</v>
      </c>
      <c r="AN273" s="61">
        <f t="shared" si="265"/>
        <v>2</v>
      </c>
      <c r="AO273" s="40">
        <f t="shared" si="279"/>
        <v>0</v>
      </c>
      <c r="AP273" s="40">
        <f t="shared" si="280"/>
        <v>0</v>
      </c>
      <c r="AQ273" s="44">
        <f t="shared" si="281"/>
        <v>1435.2713944535399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49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4650</v>
      </c>
      <c r="K280" s="41">
        <f>IFERROR(J280/I280,"")</f>
        <v>94.897959183673464</v>
      </c>
      <c r="L280" s="41">
        <f>SUM(L260:L279)</f>
        <v>49</v>
      </c>
      <c r="M280" s="41">
        <f>IFERROR(S280/P280,0)</f>
        <v>102.56695312926095</v>
      </c>
      <c r="N280" s="41">
        <f t="shared" ref="N280:T280" si="283">SUM(N260:N279)</f>
        <v>0</v>
      </c>
      <c r="O280" s="41">
        <f t="shared" si="283"/>
        <v>2</v>
      </c>
      <c r="P280" s="41">
        <f t="shared" si="283"/>
        <v>47</v>
      </c>
      <c r="Q280" s="41">
        <f t="shared" si="283"/>
        <v>0</v>
      </c>
      <c r="R280" s="41">
        <f t="shared" si="283"/>
        <v>-92.170209588035689</v>
      </c>
      <c r="S280" s="45">
        <f t="shared" si="283"/>
        <v>4820.6467970752647</v>
      </c>
      <c r="T280" s="41">
        <f t="shared" si="283"/>
        <v>47</v>
      </c>
      <c r="U280" s="41">
        <f>IFERROR(AA280/X280,0)</f>
        <v>110.57726407125506</v>
      </c>
      <c r="V280" s="41">
        <f t="shared" ref="V280:AB280" si="284">SUM(V260:V279)</f>
        <v>0</v>
      </c>
      <c r="W280" s="41">
        <f t="shared" si="284"/>
        <v>2</v>
      </c>
      <c r="X280" s="41">
        <f t="shared" si="284"/>
        <v>45</v>
      </c>
      <c r="Y280" s="41">
        <f t="shared" si="284"/>
        <v>0</v>
      </c>
      <c r="Z280" s="41">
        <f t="shared" si="284"/>
        <v>-160.97546909090912</v>
      </c>
      <c r="AA280" s="45">
        <f t="shared" si="284"/>
        <v>4975.9768832064774</v>
      </c>
      <c r="AB280" s="41">
        <f t="shared" si="284"/>
        <v>45</v>
      </c>
      <c r="AC280" s="41">
        <f>IFERROR(AI280/AF280,0)</f>
        <v>122.08201345371918</v>
      </c>
      <c r="AD280" s="41">
        <f t="shared" ref="AD280:AJ280" si="285">SUM(AD260:AD279)</f>
        <v>0</v>
      </c>
      <c r="AE280" s="41">
        <f t="shared" si="285"/>
        <v>3</v>
      </c>
      <c r="AF280" s="41">
        <f t="shared" si="285"/>
        <v>42</v>
      </c>
      <c r="AG280" s="41">
        <f t="shared" si="285"/>
        <v>0</v>
      </c>
      <c r="AH280" s="41">
        <f t="shared" si="285"/>
        <v>-169.46698829635568</v>
      </c>
      <c r="AI280" s="45">
        <f t="shared" si="285"/>
        <v>5127.4445650562056</v>
      </c>
      <c r="AJ280" s="41">
        <f t="shared" si="285"/>
        <v>42</v>
      </c>
      <c r="AK280" s="41">
        <f>IFERROR(AQ280/AN280,0)</f>
        <v>133.06694283104093</v>
      </c>
      <c r="AL280" s="41">
        <f t="shared" ref="AL280:AQ280" si="286">SUM(AL260:AL279)</f>
        <v>0</v>
      </c>
      <c r="AM280" s="41">
        <f t="shared" si="286"/>
        <v>2</v>
      </c>
      <c r="AN280" s="41">
        <f t="shared" si="286"/>
        <v>40</v>
      </c>
      <c r="AO280" s="41">
        <f t="shared" si="286"/>
        <v>0</v>
      </c>
      <c r="AP280" s="41">
        <f t="shared" si="286"/>
        <v>-124.57347839166437</v>
      </c>
      <c r="AQ280" s="45">
        <f t="shared" si="286"/>
        <v>5322.6777132416373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31020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30267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32030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34464.28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26199.353202924736</v>
      </c>
      <c r="T282" s="39"/>
      <c r="U282" s="39"/>
      <c r="V282" s="53"/>
      <c r="W282" s="53"/>
      <c r="X282" s="110"/>
      <c r="Y282" s="39"/>
      <c r="Z282" s="39"/>
      <c r="AA282" s="54">
        <f>AA281-AA280</f>
        <v>25291.023116793524</v>
      </c>
      <c r="AB282" s="39"/>
      <c r="AC282" s="53"/>
      <c r="AD282" s="53"/>
      <c r="AE282" s="110"/>
      <c r="AF282" s="39"/>
      <c r="AG282" s="39"/>
      <c r="AH282" s="39"/>
      <c r="AI282" s="54">
        <f>AI281-AI280</f>
        <v>26902.555434943795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29141.60228675836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aEvbo50uHu2bShC4Lo6pK1aZWzwflwf3RoPkNOOqH8yAtFgMyFmdlhZLpKlM4Yk6yqTjrhVRRHeJdwZKaNCyBg==" saltValue="pDKLnsMKPHfPGdlUJVbU0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Trade And Industry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34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42671.512830671294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NAT_HRBP__42671.5128306713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HRBP-Vote34.xlsx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df7ca258-5e24-45de-bd31-dbc76bc6765a"/>
    <ds:schemaRef ds:uri="http://schemas.openxmlformats.org/package/2006/metadata/core-properties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